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FY2019 Allocation\"/>
    </mc:Choice>
  </mc:AlternateContent>
  <bookViews>
    <workbookView xWindow="315" yWindow="690" windowWidth="11280" windowHeight="5550" tabRatio="602" firstSheet="2" activeTab="2"/>
  </bookViews>
  <sheets>
    <sheet name="FY2015 Detail" sheetId="11" state="hidden" r:id="rId1"/>
    <sheet name="Sheet1" sheetId="32" state="hidden" r:id="rId2"/>
    <sheet name="Summary" sheetId="24" r:id="rId3"/>
    <sheet name="Instruction" sheetId="17" r:id="rId4"/>
    <sheet name="Academic Support Per FYE" sheetId="20" r:id="rId5"/>
    <sheet name="Student&amp;Institutional Support" sheetId="26" r:id="rId6"/>
    <sheet name="Weighted differ concurrent" sheetId="31" r:id="rId7"/>
    <sheet name="Facilities" sheetId="15" r:id="rId8"/>
    <sheet name="Student Success" sheetId="27" r:id="rId9"/>
    <sheet name="3rd Term Expected" sheetId="34" r:id="rId10"/>
    <sheet name="Improvement Allocation" sheetId="35" r:id="rId11"/>
    <sheet name="Research" sheetId="13" r:id="rId12"/>
    <sheet name="Revenue Offset" sheetId="25" r:id="rId13"/>
  </sheets>
  <externalReferences>
    <externalReference r:id="rId14"/>
    <externalReference r:id="rId15"/>
  </externalReferences>
  <definedNames>
    <definedName name="Demographic_Distribution_Analysis_Sum" localSheetId="6">#REF!</definedName>
    <definedName name="Demographic_Distribution_Analysis_Sum">#REF!</definedName>
    <definedName name="_xlnm.Print_Area" localSheetId="9">'3rd Term Expected'!$A$1:$J$47</definedName>
    <definedName name="_xlnm.Print_Area" localSheetId="0">'FY2015 Detail'!$B$1:$D$40</definedName>
    <definedName name="_xlnm.Print_Area" localSheetId="10">'Improvement Allocation'!$A$1:$H$47</definedName>
    <definedName name="_xlnm.Print_Area" localSheetId="3">Instruction!$A$1:$L$43</definedName>
    <definedName name="_xlnm.Print_Area" localSheetId="2">Summary!$B$1:$Y$41</definedName>
    <definedName name="_xlnm.Print_Titles" localSheetId="0">'FY2015 Detail'!$B:$C</definedName>
    <definedName name="_xlnm.Print_Titles" localSheetId="2">Summary!$B:$C</definedName>
    <definedName name="vv" localSheetId="6">#REF!</definedName>
    <definedName name="vv">#REF!</definedName>
  </definedNames>
  <calcPr calcId="162913"/>
</workbook>
</file>

<file path=xl/calcChain.xml><?xml version="1.0" encoding="utf-8"?>
<calcChain xmlns="http://schemas.openxmlformats.org/spreadsheetml/2006/main">
  <c r="N15" i="24" l="1"/>
  <c r="N28" i="24"/>
  <c r="Y37" i="24"/>
  <c r="J38" i="24"/>
  <c r="O41" i="24"/>
  <c r="O39" i="24" s="1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D7" i="15"/>
  <c r="I6" i="34"/>
  <c r="G14" i="26"/>
  <c r="G11" i="26"/>
  <c r="G10" i="26"/>
  <c r="P31" i="26"/>
  <c r="P27" i="26"/>
  <c r="P24" i="26"/>
  <c r="P21" i="26"/>
  <c r="H7" i="24"/>
  <c r="H8" i="24"/>
  <c r="H9" i="24"/>
  <c r="H10" i="24"/>
  <c r="H37" i="24" s="1"/>
  <c r="H11" i="24"/>
  <c r="H12" i="24"/>
  <c r="H13" i="24"/>
  <c r="H14" i="24"/>
  <c r="H15" i="24"/>
  <c r="H16" i="24"/>
  <c r="H17" i="24"/>
  <c r="H18" i="24"/>
  <c r="J18" i="24" s="1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J35" i="24" s="1"/>
  <c r="W11" i="24"/>
  <c r="U11" i="24"/>
  <c r="C16" i="15"/>
  <c r="D40" i="13"/>
  <c r="C11" i="13"/>
  <c r="D27" i="13"/>
  <c r="C27" i="13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E46" i="35"/>
  <c r="E45" i="35"/>
  <c r="E44" i="35"/>
  <c r="G44" i="35"/>
  <c r="G43" i="35"/>
  <c r="H43" i="35"/>
  <c r="E43" i="35"/>
  <c r="E42" i="35"/>
  <c r="G42" i="35"/>
  <c r="E41" i="35"/>
  <c r="G41" i="35"/>
  <c r="E40" i="35"/>
  <c r="G40" i="35"/>
  <c r="G39" i="35"/>
  <c r="H39" i="35"/>
  <c r="E39" i="35"/>
  <c r="E38" i="35"/>
  <c r="G38" i="35"/>
  <c r="E37" i="35"/>
  <c r="E36" i="35"/>
  <c r="G36" i="35"/>
  <c r="G35" i="35"/>
  <c r="H35" i="35"/>
  <c r="E35" i="35"/>
  <c r="E34" i="35"/>
  <c r="G34" i="35"/>
  <c r="E33" i="35"/>
  <c r="G33" i="35"/>
  <c r="E32" i="35"/>
  <c r="G32" i="35"/>
  <c r="G31" i="35"/>
  <c r="H31" i="35"/>
  <c r="E31" i="35"/>
  <c r="E30" i="35"/>
  <c r="G30" i="35"/>
  <c r="E29" i="35"/>
  <c r="G29" i="35"/>
  <c r="E28" i="35"/>
  <c r="G28" i="35"/>
  <c r="G27" i="35"/>
  <c r="H27" i="35"/>
  <c r="E27" i="35"/>
  <c r="E26" i="35"/>
  <c r="G26" i="35"/>
  <c r="E25" i="35"/>
  <c r="G25" i="35"/>
  <c r="E24" i="35"/>
  <c r="G24" i="35"/>
  <c r="G23" i="35"/>
  <c r="E23" i="35"/>
  <c r="E22" i="35"/>
  <c r="E21" i="35"/>
  <c r="G21" i="35"/>
  <c r="E20" i="35"/>
  <c r="G20" i="35"/>
  <c r="G19" i="35"/>
  <c r="H19" i="35"/>
  <c r="E19" i="35"/>
  <c r="E18" i="35"/>
  <c r="G18" i="35"/>
  <c r="E17" i="35"/>
  <c r="G17" i="35"/>
  <c r="E16" i="35"/>
  <c r="G16" i="35"/>
  <c r="G15" i="35"/>
  <c r="H15" i="35"/>
  <c r="E15" i="35"/>
  <c r="E14" i="35"/>
  <c r="G14" i="35"/>
  <c r="E13" i="35"/>
  <c r="G13" i="35"/>
  <c r="E12" i="35"/>
  <c r="G12" i="35"/>
  <c r="G11" i="35"/>
  <c r="H11" i="35"/>
  <c r="E11" i="35"/>
  <c r="E10" i="35"/>
  <c r="G10" i="35"/>
  <c r="E9" i="35"/>
  <c r="G9" i="35"/>
  <c r="E8" i="35"/>
  <c r="G8" i="35"/>
  <c r="G7" i="35"/>
  <c r="H7" i="35"/>
  <c r="E7" i="35"/>
  <c r="E6" i="35"/>
  <c r="G6" i="35"/>
  <c r="I44" i="34"/>
  <c r="J44" i="34"/>
  <c r="I43" i="34"/>
  <c r="J43" i="34"/>
  <c r="I42" i="34"/>
  <c r="J42" i="34"/>
  <c r="I41" i="34"/>
  <c r="J41" i="34"/>
  <c r="I40" i="34"/>
  <c r="J40" i="34"/>
  <c r="I39" i="34"/>
  <c r="J39" i="34"/>
  <c r="I38" i="34"/>
  <c r="J38" i="34"/>
  <c r="I36" i="34"/>
  <c r="J36" i="34"/>
  <c r="I35" i="34"/>
  <c r="J35" i="34"/>
  <c r="I34" i="34"/>
  <c r="J34" i="34"/>
  <c r="I33" i="34"/>
  <c r="J33" i="34"/>
  <c r="I32" i="34"/>
  <c r="J32" i="34"/>
  <c r="I31" i="34"/>
  <c r="J31" i="34"/>
  <c r="I30" i="34"/>
  <c r="J30" i="34"/>
  <c r="I29" i="34"/>
  <c r="I28" i="34"/>
  <c r="J28" i="34"/>
  <c r="I27" i="34"/>
  <c r="J27" i="34"/>
  <c r="I26" i="34"/>
  <c r="J26" i="34"/>
  <c r="I25" i="34"/>
  <c r="J25" i="34"/>
  <c r="I24" i="34"/>
  <c r="J24" i="34"/>
  <c r="I23" i="34"/>
  <c r="J23" i="34"/>
  <c r="I21" i="34"/>
  <c r="I20" i="34"/>
  <c r="J20" i="34"/>
  <c r="I19" i="34"/>
  <c r="J19" i="34"/>
  <c r="I18" i="34"/>
  <c r="J18" i="34"/>
  <c r="I17" i="34"/>
  <c r="I16" i="34"/>
  <c r="J16" i="34"/>
  <c r="I15" i="34"/>
  <c r="J15" i="34"/>
  <c r="I14" i="34"/>
  <c r="J14" i="34"/>
  <c r="I13" i="34"/>
  <c r="I12" i="34"/>
  <c r="J12" i="34"/>
  <c r="I11" i="34"/>
  <c r="J11" i="34"/>
  <c r="I10" i="34"/>
  <c r="J10" i="34"/>
  <c r="I9" i="34"/>
  <c r="I8" i="34"/>
  <c r="J8" i="34"/>
  <c r="I7" i="34"/>
  <c r="J7" i="34"/>
  <c r="J6" i="34"/>
  <c r="C7" i="27"/>
  <c r="H6" i="35"/>
  <c r="G37" i="35"/>
  <c r="H25" i="35"/>
  <c r="H38" i="35"/>
  <c r="G45" i="35"/>
  <c r="H44" i="35"/>
  <c r="J45" i="34"/>
  <c r="H13" i="35"/>
  <c r="H26" i="35"/>
  <c r="H32" i="35"/>
  <c r="H14" i="35"/>
  <c r="H20" i="35"/>
  <c r="H33" i="35"/>
  <c r="H8" i="35"/>
  <c r="H21" i="35"/>
  <c r="H34" i="35"/>
  <c r="H40" i="35"/>
  <c r="H41" i="35"/>
  <c r="H9" i="35"/>
  <c r="H28" i="35"/>
  <c r="H10" i="35"/>
  <c r="H16" i="35"/>
  <c r="H29" i="35"/>
  <c r="H42" i="35"/>
  <c r="H17" i="35"/>
  <c r="G22" i="35"/>
  <c r="H30" i="35"/>
  <c r="H36" i="35"/>
  <c r="H18" i="35"/>
  <c r="H24" i="35"/>
  <c r="H12" i="35"/>
  <c r="I37" i="34"/>
  <c r="I45" i="34"/>
  <c r="J9" i="34"/>
  <c r="J13" i="34"/>
  <c r="J17" i="34"/>
  <c r="J21" i="34"/>
  <c r="J29" i="34"/>
  <c r="H23" i="35"/>
  <c r="I22" i="34"/>
  <c r="I46" i="34"/>
  <c r="J22" i="34"/>
  <c r="J37" i="34"/>
  <c r="H22" i="35"/>
  <c r="G46" i="35"/>
  <c r="H45" i="35"/>
  <c r="H37" i="35"/>
  <c r="J46" i="34"/>
  <c r="H46" i="35"/>
  <c r="C30" i="15"/>
  <c r="C28" i="15"/>
  <c r="C24" i="15"/>
  <c r="C21" i="15"/>
  <c r="C12" i="15"/>
  <c r="B37" i="31"/>
  <c r="K6" i="31"/>
  <c r="C37" i="17"/>
  <c r="H37" i="17"/>
  <c r="H35" i="17"/>
  <c r="C35" i="17"/>
  <c r="H22" i="17"/>
  <c r="C22" i="17"/>
  <c r="H17" i="17"/>
  <c r="C17" i="17"/>
  <c r="C34" i="17"/>
  <c r="C21" i="17"/>
  <c r="C10" i="17"/>
  <c r="C23" i="17"/>
  <c r="D11" i="24"/>
  <c r="D8" i="24"/>
  <c r="D7" i="24"/>
  <c r="X37" i="24"/>
  <c r="W37" i="24"/>
  <c r="L8" i="15"/>
  <c r="L6" i="27"/>
  <c r="L8" i="13"/>
  <c r="G47" i="31"/>
  <c r="F47" i="31"/>
  <c r="E47" i="31"/>
  <c r="D47" i="31"/>
  <c r="C47" i="31"/>
  <c r="B47" i="31"/>
  <c r="K46" i="31"/>
  <c r="H46" i="31"/>
  <c r="J46" i="31"/>
  <c r="K45" i="31"/>
  <c r="H45" i="31"/>
  <c r="J45" i="31"/>
  <c r="K44" i="31"/>
  <c r="H44" i="31"/>
  <c r="J44" i="31"/>
  <c r="K43" i="31"/>
  <c r="H43" i="31"/>
  <c r="J43" i="31"/>
  <c r="K42" i="31"/>
  <c r="H42" i="31"/>
  <c r="J42" i="31"/>
  <c r="K41" i="31"/>
  <c r="H41" i="31"/>
  <c r="J41" i="31"/>
  <c r="K40" i="31"/>
  <c r="H40" i="31"/>
  <c r="J40" i="31"/>
  <c r="G37" i="31"/>
  <c r="G48" i="31"/>
  <c r="F37" i="31"/>
  <c r="E37" i="31"/>
  <c r="D37" i="31"/>
  <c r="C37" i="31"/>
  <c r="K36" i="31"/>
  <c r="H36" i="31"/>
  <c r="J36" i="31"/>
  <c r="K35" i="31"/>
  <c r="H35" i="31"/>
  <c r="J35" i="31"/>
  <c r="K34" i="31"/>
  <c r="H34" i="31"/>
  <c r="J34" i="31"/>
  <c r="L34" i="31"/>
  <c r="M34" i="31"/>
  <c r="K33" i="31"/>
  <c r="H33" i="31"/>
  <c r="J33" i="31"/>
  <c r="K32" i="31"/>
  <c r="H32" i="31"/>
  <c r="J32" i="31"/>
  <c r="L32" i="31"/>
  <c r="M32" i="31"/>
  <c r="K31" i="31"/>
  <c r="H31" i="31"/>
  <c r="J31" i="31"/>
  <c r="K30" i="31"/>
  <c r="H30" i="31"/>
  <c r="J30" i="31"/>
  <c r="K29" i="31"/>
  <c r="H29" i="31"/>
  <c r="J29" i="31"/>
  <c r="K28" i="31"/>
  <c r="H28" i="31"/>
  <c r="J28" i="31"/>
  <c r="L28" i="31"/>
  <c r="M28" i="31"/>
  <c r="K27" i="31"/>
  <c r="H27" i="31"/>
  <c r="J27" i="31"/>
  <c r="K26" i="31"/>
  <c r="H26" i="31"/>
  <c r="J26" i="31"/>
  <c r="K25" i="31"/>
  <c r="H25" i="31"/>
  <c r="J25" i="31"/>
  <c r="K24" i="31"/>
  <c r="H24" i="31"/>
  <c r="J24" i="31"/>
  <c r="K23" i="31"/>
  <c r="H23" i="31"/>
  <c r="J23" i="31"/>
  <c r="K22" i="31"/>
  <c r="H22" i="31"/>
  <c r="J22" i="31"/>
  <c r="K21" i="31"/>
  <c r="H21" i="31"/>
  <c r="J21" i="31"/>
  <c r="K20" i="31"/>
  <c r="H20" i="31"/>
  <c r="J20" i="31"/>
  <c r="K19" i="31"/>
  <c r="H19" i="31"/>
  <c r="J19" i="31"/>
  <c r="K18" i="31"/>
  <c r="H18" i="31"/>
  <c r="J18" i="31"/>
  <c r="K17" i="31"/>
  <c r="H17" i="31"/>
  <c r="J17" i="31"/>
  <c r="L17" i="31"/>
  <c r="M17" i="31"/>
  <c r="K16" i="31"/>
  <c r="H16" i="31"/>
  <c r="J16" i="31"/>
  <c r="K15" i="31"/>
  <c r="H15" i="31"/>
  <c r="J15" i="31"/>
  <c r="K14" i="31"/>
  <c r="H14" i="31"/>
  <c r="J14" i="31"/>
  <c r="K13" i="31"/>
  <c r="H13" i="31"/>
  <c r="J13" i="31"/>
  <c r="K12" i="31"/>
  <c r="H12" i="31"/>
  <c r="J12" i="31"/>
  <c r="K11" i="31"/>
  <c r="H11" i="31"/>
  <c r="J11" i="31"/>
  <c r="K10" i="31"/>
  <c r="H10" i="31"/>
  <c r="J10" i="31"/>
  <c r="K9" i="31"/>
  <c r="H9" i="31"/>
  <c r="J9" i="31"/>
  <c r="K8" i="31"/>
  <c r="H8" i="31"/>
  <c r="J8" i="31"/>
  <c r="K7" i="31"/>
  <c r="H7" i="31"/>
  <c r="J7" i="31"/>
  <c r="H6" i="31"/>
  <c r="J6" i="31"/>
  <c r="D48" i="31"/>
  <c r="L44" i="31"/>
  <c r="M44" i="31"/>
  <c r="L40" i="31"/>
  <c r="M40" i="31"/>
  <c r="L35" i="31"/>
  <c r="M35" i="31"/>
  <c r="L33" i="31"/>
  <c r="M33" i="31"/>
  <c r="L29" i="31"/>
  <c r="M29" i="31"/>
  <c r="L25" i="31"/>
  <c r="M25" i="31"/>
  <c r="L24" i="31"/>
  <c r="M24" i="31"/>
  <c r="L22" i="31"/>
  <c r="M22" i="31"/>
  <c r="L21" i="31"/>
  <c r="M21" i="31"/>
  <c r="L19" i="31"/>
  <c r="M19" i="31"/>
  <c r="L18" i="31"/>
  <c r="M18" i="31"/>
  <c r="L14" i="31"/>
  <c r="M14" i="31"/>
  <c r="L13" i="31"/>
  <c r="M13" i="31"/>
  <c r="L9" i="31"/>
  <c r="M9" i="31"/>
  <c r="E48" i="31"/>
  <c r="B48" i="31"/>
  <c r="L11" i="31"/>
  <c r="M11" i="31"/>
  <c r="L15" i="31"/>
  <c r="M15" i="31"/>
  <c r="L30" i="31"/>
  <c r="M30" i="31"/>
  <c r="C48" i="31"/>
  <c r="L41" i="31"/>
  <c r="M41" i="31"/>
  <c r="L45" i="31"/>
  <c r="M45" i="31"/>
  <c r="L8" i="31"/>
  <c r="M8" i="31"/>
  <c r="L12" i="31"/>
  <c r="M12" i="31"/>
  <c r="L16" i="31"/>
  <c r="M16" i="31"/>
  <c r="L27" i="31"/>
  <c r="M27" i="31"/>
  <c r="L31" i="31"/>
  <c r="M31" i="31"/>
  <c r="L42" i="31"/>
  <c r="M42" i="31"/>
  <c r="K47" i="31"/>
  <c r="K37" i="31"/>
  <c r="F48" i="31"/>
  <c r="L10" i="31"/>
  <c r="M10" i="31"/>
  <c r="L26" i="31"/>
  <c r="M26" i="31"/>
  <c r="L7" i="31"/>
  <c r="M7" i="31"/>
  <c r="L20" i="31"/>
  <c r="M20" i="31"/>
  <c r="L23" i="31"/>
  <c r="M23" i="31"/>
  <c r="L36" i="31"/>
  <c r="M36" i="31"/>
  <c r="H47" i="31"/>
  <c r="L43" i="31"/>
  <c r="M43" i="31"/>
  <c r="L46" i="31"/>
  <c r="M46" i="31"/>
  <c r="J37" i="31"/>
  <c r="L6" i="31"/>
  <c r="H37" i="31"/>
  <c r="J47" i="31"/>
  <c r="L47" i="31"/>
  <c r="M47" i="31"/>
  <c r="H48" i="31"/>
  <c r="I46" i="31"/>
  <c r="K48" i="31"/>
  <c r="L37" i="31"/>
  <c r="M6" i="31"/>
  <c r="J48" i="31"/>
  <c r="I34" i="31"/>
  <c r="I8" i="31"/>
  <c r="I41" i="31"/>
  <c r="I23" i="31"/>
  <c r="I42" i="31"/>
  <c r="I18" i="31"/>
  <c r="I24" i="31"/>
  <c r="I31" i="31"/>
  <c r="I7" i="31"/>
  <c r="I16" i="31"/>
  <c r="I14" i="31"/>
  <c r="I19" i="31"/>
  <c r="I32" i="31"/>
  <c r="I45" i="31"/>
  <c r="I13" i="31"/>
  <c r="I35" i="31"/>
  <c r="I26" i="31"/>
  <c r="I6" i="31"/>
  <c r="I25" i="31"/>
  <c r="I17" i="31"/>
  <c r="I44" i="31"/>
  <c r="I28" i="31"/>
  <c r="I40" i="31"/>
  <c r="I43" i="31"/>
  <c r="I12" i="31"/>
  <c r="I9" i="31"/>
  <c r="I27" i="31"/>
  <c r="I20" i="31"/>
  <c r="I36" i="31"/>
  <c r="I11" i="31"/>
  <c r="I29" i="31"/>
  <c r="I21" i="31"/>
  <c r="I30" i="31"/>
  <c r="I10" i="31"/>
  <c r="I15" i="31"/>
  <c r="I33" i="31"/>
  <c r="L48" i="31"/>
  <c r="M37" i="31"/>
  <c r="I22" i="31"/>
  <c r="I37" i="31"/>
  <c r="I47" i="31"/>
  <c r="M48" i="31"/>
  <c r="I48" i="31"/>
  <c r="E36" i="27"/>
  <c r="E18" i="27"/>
  <c r="E30" i="27"/>
  <c r="E24" i="27"/>
  <c r="E23" i="27"/>
  <c r="E19" i="27"/>
  <c r="E28" i="27"/>
  <c r="E10" i="27"/>
  <c r="E26" i="27"/>
  <c r="E33" i="27"/>
  <c r="E15" i="27"/>
  <c r="E11" i="27"/>
  <c r="E29" i="27"/>
  <c r="E13" i="27"/>
  <c r="E14" i="27"/>
  <c r="E20" i="27"/>
  <c r="E35" i="27"/>
  <c r="E34" i="27"/>
  <c r="E32" i="27"/>
  <c r="E31" i="27"/>
  <c r="E27" i="27"/>
  <c r="E22" i="27"/>
  <c r="E17" i="27"/>
  <c r="E16" i="27"/>
  <c r="E12" i="27"/>
  <c r="D38" i="27"/>
  <c r="E7" i="27"/>
  <c r="H6" i="24"/>
  <c r="E25" i="27"/>
  <c r="E8" i="27"/>
  <c r="E21" i="27"/>
  <c r="E9" i="27"/>
  <c r="E38" i="27"/>
  <c r="C38" i="27"/>
  <c r="C31" i="15"/>
  <c r="C27" i="15"/>
  <c r="C20" i="15"/>
  <c r="C34" i="15"/>
  <c r="C14" i="15"/>
  <c r="C38" i="26"/>
  <c r="F38" i="26"/>
  <c r="C37" i="26"/>
  <c r="F37" i="26"/>
  <c r="C36" i="26"/>
  <c r="F36" i="26"/>
  <c r="C35" i="26"/>
  <c r="F35" i="26"/>
  <c r="C34" i="26"/>
  <c r="F34" i="26"/>
  <c r="C33" i="26"/>
  <c r="F33" i="26"/>
  <c r="C32" i="26"/>
  <c r="F32" i="26"/>
  <c r="C31" i="26"/>
  <c r="F31" i="26"/>
  <c r="C30" i="26"/>
  <c r="C29" i="26"/>
  <c r="F29" i="26"/>
  <c r="C28" i="26"/>
  <c r="F28" i="26"/>
  <c r="C27" i="26"/>
  <c r="C26" i="26"/>
  <c r="F26" i="26"/>
  <c r="C25" i="26"/>
  <c r="F25" i="26"/>
  <c r="C24" i="26"/>
  <c r="F24" i="26"/>
  <c r="C23" i="26"/>
  <c r="F23" i="26"/>
  <c r="C22" i="26"/>
  <c r="F22" i="26"/>
  <c r="C21" i="26"/>
  <c r="F21" i="26"/>
  <c r="C20" i="26"/>
  <c r="F20" i="26"/>
  <c r="C19" i="26"/>
  <c r="C18" i="26"/>
  <c r="F18" i="26"/>
  <c r="C17" i="26"/>
  <c r="F17" i="26"/>
  <c r="C16" i="26"/>
  <c r="F16" i="26"/>
  <c r="C15" i="26"/>
  <c r="F15" i="26"/>
  <c r="C14" i="26"/>
  <c r="C13" i="26"/>
  <c r="F13" i="26"/>
  <c r="C12" i="26"/>
  <c r="F12" i="26"/>
  <c r="C11" i="26"/>
  <c r="F11" i="26"/>
  <c r="C10" i="26"/>
  <c r="F10" i="26"/>
  <c r="C9" i="26"/>
  <c r="N43" i="26"/>
  <c r="N42" i="26"/>
  <c r="R40" i="26"/>
  <c r="H40" i="26"/>
  <c r="D40" i="26"/>
  <c r="J38" i="26"/>
  <c r="J37" i="26"/>
  <c r="J36" i="26"/>
  <c r="J35" i="26"/>
  <c r="J34" i="26"/>
  <c r="J33" i="26"/>
  <c r="J32" i="26"/>
  <c r="J31" i="26"/>
  <c r="J30" i="26"/>
  <c r="F30" i="26"/>
  <c r="J29" i="26"/>
  <c r="J28" i="26"/>
  <c r="J27" i="26"/>
  <c r="F27" i="26"/>
  <c r="J26" i="26"/>
  <c r="J25" i="26"/>
  <c r="J24" i="26"/>
  <c r="J23" i="26"/>
  <c r="J22" i="26"/>
  <c r="J21" i="26"/>
  <c r="J20" i="26"/>
  <c r="J19" i="26"/>
  <c r="F19" i="26"/>
  <c r="J18" i="26"/>
  <c r="J17" i="26"/>
  <c r="J16" i="26"/>
  <c r="J15" i="26"/>
  <c r="J14" i="26"/>
  <c r="F14" i="26"/>
  <c r="J13" i="26"/>
  <c r="J12" i="26"/>
  <c r="J11" i="26"/>
  <c r="P10" i="26"/>
  <c r="J10" i="26"/>
  <c r="J9" i="26"/>
  <c r="K24" i="26"/>
  <c r="K34" i="26"/>
  <c r="K28" i="26"/>
  <c r="K14" i="26"/>
  <c r="K33" i="26"/>
  <c r="K12" i="26"/>
  <c r="K19" i="26"/>
  <c r="K15" i="26"/>
  <c r="P40" i="26"/>
  <c r="K32" i="26"/>
  <c r="K31" i="26"/>
  <c r="K38" i="26"/>
  <c r="K20" i="26"/>
  <c r="K22" i="26"/>
  <c r="K29" i="26"/>
  <c r="K37" i="26"/>
  <c r="K17" i="26"/>
  <c r="K21" i="26"/>
  <c r="K27" i="26"/>
  <c r="K23" i="26"/>
  <c r="K35" i="26"/>
  <c r="K26" i="26"/>
  <c r="K25" i="26"/>
  <c r="J40" i="26"/>
  <c r="K10" i="26"/>
  <c r="K30" i="26"/>
  <c r="K36" i="26"/>
  <c r="K16" i="26"/>
  <c r="C40" i="26"/>
  <c r="F9" i="26"/>
  <c r="F40" i="26"/>
  <c r="K11" i="26"/>
  <c r="K18" i="26"/>
  <c r="K13" i="26"/>
  <c r="G40" i="26"/>
  <c r="K9" i="26"/>
  <c r="K40" i="26"/>
  <c r="F39" i="25"/>
  <c r="D39" i="25"/>
  <c r="C39" i="25"/>
  <c r="E37" i="25"/>
  <c r="G37" i="25"/>
  <c r="E36" i="25"/>
  <c r="G36" i="25"/>
  <c r="E35" i="25"/>
  <c r="G35" i="25"/>
  <c r="E34" i="25"/>
  <c r="G34" i="25"/>
  <c r="E33" i="25"/>
  <c r="G33" i="25"/>
  <c r="E32" i="25"/>
  <c r="G32" i="25"/>
  <c r="E31" i="25"/>
  <c r="G31" i="25"/>
  <c r="E30" i="25"/>
  <c r="G30" i="25"/>
  <c r="E29" i="25"/>
  <c r="G29" i="25"/>
  <c r="E28" i="25"/>
  <c r="G28" i="25"/>
  <c r="E27" i="25"/>
  <c r="G27" i="25"/>
  <c r="E26" i="25"/>
  <c r="G26" i="25"/>
  <c r="E25" i="25"/>
  <c r="G25" i="25"/>
  <c r="E24" i="25"/>
  <c r="G24" i="25"/>
  <c r="E23" i="25"/>
  <c r="G23" i="25"/>
  <c r="E22" i="25"/>
  <c r="G22" i="25"/>
  <c r="E21" i="25"/>
  <c r="G21" i="25"/>
  <c r="E20" i="25"/>
  <c r="G20" i="25"/>
  <c r="E19" i="25"/>
  <c r="G19" i="25"/>
  <c r="E18" i="25"/>
  <c r="G18" i="25"/>
  <c r="E17" i="25"/>
  <c r="G17" i="25"/>
  <c r="E16" i="25"/>
  <c r="G16" i="25"/>
  <c r="E15" i="25"/>
  <c r="G15" i="25"/>
  <c r="E14" i="25"/>
  <c r="G14" i="25"/>
  <c r="E13" i="25"/>
  <c r="G13" i="25"/>
  <c r="E12" i="25"/>
  <c r="G12" i="25"/>
  <c r="E11" i="25"/>
  <c r="G11" i="25"/>
  <c r="E10" i="25"/>
  <c r="E9" i="25"/>
  <c r="G9" i="25"/>
  <c r="E8" i="25"/>
  <c r="G8" i="25"/>
  <c r="D17" i="20"/>
  <c r="L38" i="26"/>
  <c r="M38" i="26"/>
  <c r="Q38" i="26"/>
  <c r="S38" i="26"/>
  <c r="F35" i="24"/>
  <c r="G38" i="15"/>
  <c r="D37" i="20"/>
  <c r="F38" i="13"/>
  <c r="L34" i="26"/>
  <c r="M34" i="26"/>
  <c r="D33" i="20"/>
  <c r="F34" i="13"/>
  <c r="G34" i="15"/>
  <c r="F32" i="13"/>
  <c r="L32" i="26"/>
  <c r="M32" i="26"/>
  <c r="G32" i="15"/>
  <c r="D31" i="20"/>
  <c r="D36" i="20"/>
  <c r="F37" i="13"/>
  <c r="G37" i="15"/>
  <c r="L37" i="26"/>
  <c r="M37" i="26"/>
  <c r="Q37" i="26"/>
  <c r="S37" i="26"/>
  <c r="F34" i="24"/>
  <c r="L36" i="26"/>
  <c r="M36" i="26"/>
  <c r="D35" i="20"/>
  <c r="F36" i="13"/>
  <c r="G36" i="15"/>
  <c r="L35" i="26"/>
  <c r="M35" i="26"/>
  <c r="D34" i="20"/>
  <c r="F35" i="13"/>
  <c r="G35" i="15"/>
  <c r="D32" i="20"/>
  <c r="G33" i="15"/>
  <c r="L33" i="26"/>
  <c r="M33" i="26"/>
  <c r="F33" i="13"/>
  <c r="L31" i="26"/>
  <c r="M31" i="26"/>
  <c r="F31" i="13"/>
  <c r="G31" i="15"/>
  <c r="D30" i="20"/>
  <c r="D29" i="20"/>
  <c r="F30" i="13"/>
  <c r="L30" i="26"/>
  <c r="M30" i="26"/>
  <c r="G30" i="15"/>
  <c r="F29" i="13"/>
  <c r="L29" i="26"/>
  <c r="M29" i="26"/>
  <c r="G29" i="15"/>
  <c r="D28" i="20"/>
  <c r="G28" i="15"/>
  <c r="F28" i="13"/>
  <c r="D27" i="20"/>
  <c r="L28" i="26"/>
  <c r="M28" i="26"/>
  <c r="L27" i="26"/>
  <c r="M27" i="26"/>
  <c r="Q27" i="26"/>
  <c r="F27" i="13"/>
  <c r="G27" i="15"/>
  <c r="D26" i="20"/>
  <c r="G26" i="15"/>
  <c r="L26" i="26"/>
  <c r="M26" i="26"/>
  <c r="D25" i="20"/>
  <c r="F26" i="13"/>
  <c r="D24" i="20"/>
  <c r="L25" i="26"/>
  <c r="M25" i="26"/>
  <c r="F25" i="13"/>
  <c r="G25" i="15"/>
  <c r="G24" i="15"/>
  <c r="L24" i="26"/>
  <c r="M24" i="26"/>
  <c r="D23" i="20"/>
  <c r="F24" i="13"/>
  <c r="F23" i="13"/>
  <c r="L23" i="26"/>
  <c r="M23" i="26"/>
  <c r="G23" i="15"/>
  <c r="D22" i="20"/>
  <c r="L22" i="26"/>
  <c r="M22" i="26"/>
  <c r="F22" i="13"/>
  <c r="G22" i="15"/>
  <c r="D21" i="20"/>
  <c r="D20" i="20"/>
  <c r="F21" i="13"/>
  <c r="L21" i="26"/>
  <c r="M21" i="26"/>
  <c r="G21" i="15"/>
  <c r="F20" i="13"/>
  <c r="G20" i="15"/>
  <c r="D19" i="20"/>
  <c r="L20" i="26"/>
  <c r="M20" i="26"/>
  <c r="L19" i="26"/>
  <c r="M19" i="26"/>
  <c r="D18" i="20"/>
  <c r="F19" i="13"/>
  <c r="G19" i="15"/>
  <c r="G18" i="15"/>
  <c r="L18" i="26"/>
  <c r="M18" i="26"/>
  <c r="F18" i="13"/>
  <c r="D16" i="20"/>
  <c r="G17" i="15"/>
  <c r="L17" i="26"/>
  <c r="M17" i="26"/>
  <c r="F17" i="13"/>
  <c r="F16" i="13"/>
  <c r="D15" i="20"/>
  <c r="L16" i="26"/>
  <c r="M16" i="26"/>
  <c r="G16" i="15"/>
  <c r="F15" i="13"/>
  <c r="G15" i="15"/>
  <c r="L15" i="26"/>
  <c r="M15" i="26"/>
  <c r="D14" i="20"/>
  <c r="L13" i="26"/>
  <c r="M13" i="26"/>
  <c r="D12" i="20"/>
  <c r="F13" i="13"/>
  <c r="G13" i="15"/>
  <c r="G12" i="15"/>
  <c r="D11" i="20"/>
  <c r="F12" i="13"/>
  <c r="L12" i="26"/>
  <c r="M12" i="26"/>
  <c r="F10" i="13"/>
  <c r="L10" i="26"/>
  <c r="M10" i="26"/>
  <c r="D9" i="20"/>
  <c r="G10" i="15"/>
  <c r="F9" i="13"/>
  <c r="G9" i="15"/>
  <c r="D8" i="20"/>
  <c r="L9" i="26"/>
  <c r="M9" i="26"/>
  <c r="L14" i="26"/>
  <c r="M14" i="26"/>
  <c r="Q14" i="26"/>
  <c r="F14" i="13"/>
  <c r="D13" i="20"/>
  <c r="G14" i="15"/>
  <c r="E39" i="25"/>
  <c r="G39" i="25"/>
  <c r="G10" i="25"/>
  <c r="Q36" i="26"/>
  <c r="S36" i="26"/>
  <c r="F33" i="24"/>
  <c r="Q35" i="26"/>
  <c r="S35" i="26"/>
  <c r="F32" i="24"/>
  <c r="Q34" i="26"/>
  <c r="S34" i="26"/>
  <c r="F31" i="24"/>
  <c r="J31" i="24" s="1"/>
  <c r="Q33" i="26"/>
  <c r="S33" i="26"/>
  <c r="F30" i="24"/>
  <c r="Q32" i="26"/>
  <c r="S32" i="26"/>
  <c r="F29" i="24"/>
  <c r="Q31" i="26"/>
  <c r="S31" i="26"/>
  <c r="F28" i="24"/>
  <c r="Q30" i="26"/>
  <c r="S30" i="26"/>
  <c r="F27" i="24"/>
  <c r="Q29" i="26"/>
  <c r="S29" i="26"/>
  <c r="F26" i="24"/>
  <c r="Q28" i="26"/>
  <c r="S28" i="26"/>
  <c r="F25" i="24"/>
  <c r="Q26" i="26"/>
  <c r="S26" i="26"/>
  <c r="F23" i="24"/>
  <c r="Q25" i="26"/>
  <c r="S25" i="26"/>
  <c r="F22" i="24"/>
  <c r="Q24" i="26"/>
  <c r="S24" i="26"/>
  <c r="F21" i="24"/>
  <c r="Q23" i="26"/>
  <c r="S23" i="26"/>
  <c r="F20" i="24"/>
  <c r="Q22" i="26"/>
  <c r="S22" i="26"/>
  <c r="F19" i="24"/>
  <c r="Q21" i="26"/>
  <c r="S21" i="26"/>
  <c r="F18" i="24"/>
  <c r="Q20" i="26"/>
  <c r="S20" i="26"/>
  <c r="F17" i="24"/>
  <c r="Q19" i="26"/>
  <c r="S19" i="26"/>
  <c r="F16" i="24"/>
  <c r="J16" i="24" s="1"/>
  <c r="Q18" i="26"/>
  <c r="S18" i="26"/>
  <c r="F15" i="24"/>
  <c r="Q17" i="26"/>
  <c r="S17" i="26"/>
  <c r="F14" i="24"/>
  <c r="Q16" i="26"/>
  <c r="S16" i="26"/>
  <c r="F13" i="24"/>
  <c r="Q15" i="26"/>
  <c r="S15" i="26"/>
  <c r="F12" i="24"/>
  <c r="J12" i="24" s="1"/>
  <c r="Q13" i="26"/>
  <c r="S13" i="26"/>
  <c r="F10" i="24"/>
  <c r="J10" i="24" s="1"/>
  <c r="Q12" i="26"/>
  <c r="S12" i="26"/>
  <c r="F9" i="24"/>
  <c r="Q10" i="26"/>
  <c r="S10" i="26"/>
  <c r="F7" i="24"/>
  <c r="Q9" i="26"/>
  <c r="S9" i="26"/>
  <c r="F6" i="24"/>
  <c r="F37" i="24" s="1"/>
  <c r="J39" i="25"/>
  <c r="S27" i="26"/>
  <c r="F24" i="24"/>
  <c r="L11" i="26"/>
  <c r="M11" i="26"/>
  <c r="D10" i="20"/>
  <c r="G11" i="15"/>
  <c r="F11" i="13"/>
  <c r="G40" i="15"/>
  <c r="D39" i="20"/>
  <c r="L40" i="26"/>
  <c r="Q11" i="26"/>
  <c r="S11" i="26"/>
  <c r="F8" i="24"/>
  <c r="M40" i="26"/>
  <c r="S14" i="26"/>
  <c r="C11" i="15"/>
  <c r="C10" i="15"/>
  <c r="Q40" i="26"/>
  <c r="F11" i="24"/>
  <c r="S40" i="26"/>
  <c r="F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C40" i="13"/>
  <c r="E40" i="13"/>
  <c r="V37" i="24"/>
  <c r="D29" i="15"/>
  <c r="F29" i="15"/>
  <c r="U37" i="24"/>
  <c r="D16" i="15"/>
  <c r="F8" i="20"/>
  <c r="D37" i="24"/>
  <c r="L37" i="24"/>
  <c r="M37" i="24"/>
  <c r="D9" i="15"/>
  <c r="F9" i="15"/>
  <c r="H10" i="13"/>
  <c r="I7" i="24"/>
  <c r="D37" i="11"/>
  <c r="C39" i="20"/>
  <c r="F33" i="20"/>
  <c r="I26" i="17"/>
  <c r="J26" i="17"/>
  <c r="L26" i="17"/>
  <c r="E24" i="24"/>
  <c r="I8" i="17"/>
  <c r="J8" i="17"/>
  <c r="L8" i="17"/>
  <c r="E6" i="24"/>
  <c r="E37" i="24" s="1"/>
  <c r="I9" i="17"/>
  <c r="J9" i="17"/>
  <c r="L9" i="17"/>
  <c r="E7" i="24"/>
  <c r="I10" i="17"/>
  <c r="I11" i="17"/>
  <c r="J11" i="17"/>
  <c r="L11" i="17"/>
  <c r="E9" i="24"/>
  <c r="J9" i="24" s="1"/>
  <c r="I12" i="17"/>
  <c r="J12" i="17"/>
  <c r="L12" i="17"/>
  <c r="E10" i="24"/>
  <c r="I13" i="17"/>
  <c r="J13" i="17"/>
  <c r="L13" i="17"/>
  <c r="E11" i="24"/>
  <c r="I14" i="17"/>
  <c r="J14" i="17"/>
  <c r="L14" i="17"/>
  <c r="E12" i="24"/>
  <c r="I15" i="17"/>
  <c r="J15" i="17"/>
  <c r="L15" i="17"/>
  <c r="E13" i="24"/>
  <c r="I16" i="17"/>
  <c r="J16" i="17"/>
  <c r="L16" i="17"/>
  <c r="E14" i="24"/>
  <c r="I17" i="17"/>
  <c r="J17" i="17"/>
  <c r="L17" i="17"/>
  <c r="E15" i="24"/>
  <c r="J15" i="24" s="1"/>
  <c r="I18" i="17"/>
  <c r="J18" i="17"/>
  <c r="L18" i="17"/>
  <c r="E16" i="24"/>
  <c r="I19" i="17"/>
  <c r="J19" i="17"/>
  <c r="L19" i="17"/>
  <c r="E17" i="24"/>
  <c r="I20" i="17"/>
  <c r="J20" i="17"/>
  <c r="L20" i="17"/>
  <c r="E18" i="24"/>
  <c r="I23" i="17"/>
  <c r="J23" i="17"/>
  <c r="L23" i="17"/>
  <c r="E21" i="24"/>
  <c r="J21" i="24" s="1"/>
  <c r="I24" i="17"/>
  <c r="J24" i="17"/>
  <c r="L24" i="17"/>
  <c r="E22" i="24"/>
  <c r="I25" i="17"/>
  <c r="J25" i="17"/>
  <c r="L25" i="17"/>
  <c r="E23" i="24"/>
  <c r="I27" i="17"/>
  <c r="J27" i="17"/>
  <c r="L27" i="17"/>
  <c r="E25" i="24"/>
  <c r="I28" i="17"/>
  <c r="J28" i="17"/>
  <c r="L28" i="17"/>
  <c r="E26" i="24"/>
  <c r="J26" i="24" s="1"/>
  <c r="I29" i="17"/>
  <c r="J29" i="17"/>
  <c r="L29" i="17"/>
  <c r="E27" i="24"/>
  <c r="I30" i="17"/>
  <c r="J30" i="17"/>
  <c r="L30" i="17"/>
  <c r="E28" i="24"/>
  <c r="I31" i="17"/>
  <c r="J31" i="17"/>
  <c r="L31" i="17"/>
  <c r="E29" i="24"/>
  <c r="I32" i="17"/>
  <c r="J32" i="17"/>
  <c r="L32" i="17"/>
  <c r="E30" i="24"/>
  <c r="I33" i="17"/>
  <c r="J33" i="17"/>
  <c r="L33" i="17"/>
  <c r="E31" i="24"/>
  <c r="I34" i="17"/>
  <c r="J34" i="17"/>
  <c r="L34" i="17"/>
  <c r="E32" i="24"/>
  <c r="I36" i="17"/>
  <c r="J36" i="17"/>
  <c r="L36" i="17"/>
  <c r="E34" i="24"/>
  <c r="I37" i="17"/>
  <c r="J37" i="17"/>
  <c r="I35" i="17"/>
  <c r="J35" i="17"/>
  <c r="L35" i="17"/>
  <c r="E33" i="24"/>
  <c r="I22" i="17"/>
  <c r="J22" i="17"/>
  <c r="L22" i="17"/>
  <c r="E20" i="24"/>
  <c r="J20" i="24" s="1"/>
  <c r="I21" i="17"/>
  <c r="J21" i="17"/>
  <c r="L21" i="17"/>
  <c r="E19" i="24"/>
  <c r="H9" i="13"/>
  <c r="I6" i="24"/>
  <c r="D10" i="15"/>
  <c r="F10" i="15"/>
  <c r="D13" i="15"/>
  <c r="F13" i="15"/>
  <c r="D14" i="15"/>
  <c r="F14" i="15"/>
  <c r="D19" i="15"/>
  <c r="F19" i="15"/>
  <c r="D21" i="15"/>
  <c r="F21" i="15"/>
  <c r="D22" i="15"/>
  <c r="F22" i="15"/>
  <c r="D23" i="15"/>
  <c r="F23" i="15"/>
  <c r="D24" i="15"/>
  <c r="F24" i="15"/>
  <c r="D27" i="15"/>
  <c r="F27" i="15"/>
  <c r="D28" i="15"/>
  <c r="F28" i="15"/>
  <c r="D31" i="15"/>
  <c r="F31" i="15"/>
  <c r="D36" i="15"/>
  <c r="F36" i="15"/>
  <c r="D38" i="15"/>
  <c r="F38" i="15"/>
  <c r="D11" i="15"/>
  <c r="F11" i="15"/>
  <c r="D12" i="15"/>
  <c r="F12" i="15"/>
  <c r="D15" i="15"/>
  <c r="F15" i="15"/>
  <c r="F16" i="15"/>
  <c r="D17" i="15"/>
  <c r="F17" i="15"/>
  <c r="D18" i="15"/>
  <c r="F18" i="15"/>
  <c r="D25" i="15"/>
  <c r="F25" i="15"/>
  <c r="D26" i="15"/>
  <c r="F26" i="15"/>
  <c r="D30" i="15"/>
  <c r="F30" i="15"/>
  <c r="D32" i="15"/>
  <c r="F32" i="15"/>
  <c r="D33" i="15"/>
  <c r="F33" i="15"/>
  <c r="D35" i="15"/>
  <c r="F35" i="15"/>
  <c r="D37" i="15"/>
  <c r="F37" i="15"/>
  <c r="D20" i="15"/>
  <c r="F20" i="15"/>
  <c r="F37" i="20"/>
  <c r="F36" i="20"/>
  <c r="F35" i="20"/>
  <c r="F34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K39" i="17"/>
  <c r="D34" i="15"/>
  <c r="F34" i="15"/>
  <c r="A45" i="15"/>
  <c r="A42" i="20"/>
  <c r="A42" i="17"/>
  <c r="E40" i="15"/>
  <c r="C40" i="15"/>
  <c r="H39" i="17"/>
  <c r="G39" i="17"/>
  <c r="F39" i="17"/>
  <c r="E39" i="17"/>
  <c r="D39" i="17"/>
  <c r="C39" i="17"/>
  <c r="L37" i="17"/>
  <c r="E35" i="24"/>
  <c r="H11" i="13"/>
  <c r="I8" i="24"/>
  <c r="H36" i="13"/>
  <c r="I33" i="24"/>
  <c r="H33" i="13"/>
  <c r="I30" i="24"/>
  <c r="H38" i="13"/>
  <c r="I35" i="24"/>
  <c r="H32" i="13"/>
  <c r="I29" i="24"/>
  <c r="H20" i="13"/>
  <c r="I17" i="24"/>
  <c r="J17" i="24" s="1"/>
  <c r="H14" i="13"/>
  <c r="I11" i="24"/>
  <c r="D40" i="15"/>
  <c r="I39" i="17"/>
  <c r="H28" i="13"/>
  <c r="I25" i="24"/>
  <c r="H30" i="13"/>
  <c r="I27" i="24"/>
  <c r="H22" i="13"/>
  <c r="I19" i="24"/>
  <c r="H25" i="13"/>
  <c r="I22" i="24"/>
  <c r="J10" i="17"/>
  <c r="L10" i="17"/>
  <c r="E8" i="24"/>
  <c r="J8" i="24" s="1"/>
  <c r="F39" i="20"/>
  <c r="H24" i="13"/>
  <c r="I21" i="24"/>
  <c r="H23" i="13"/>
  <c r="I20" i="24"/>
  <c r="H9" i="15"/>
  <c r="G6" i="24"/>
  <c r="E8" i="20"/>
  <c r="G8" i="20"/>
  <c r="H15" i="13"/>
  <c r="I12" i="24"/>
  <c r="H34" i="13"/>
  <c r="I31" i="24"/>
  <c r="H37" i="13"/>
  <c r="I34" i="24"/>
  <c r="H35" i="13"/>
  <c r="I32" i="24"/>
  <c r="H31" i="13"/>
  <c r="I28" i="24"/>
  <c r="H29" i="13"/>
  <c r="I26" i="24"/>
  <c r="H27" i="13"/>
  <c r="I24" i="24"/>
  <c r="H26" i="13"/>
  <c r="I23" i="24"/>
  <c r="H21" i="13"/>
  <c r="I18" i="24"/>
  <c r="H19" i="13"/>
  <c r="I16" i="24"/>
  <c r="H18" i="13"/>
  <c r="I15" i="24"/>
  <c r="H17" i="13"/>
  <c r="I14" i="24"/>
  <c r="I37" i="24" s="1"/>
  <c r="H16" i="13"/>
  <c r="I13" i="24"/>
  <c r="H13" i="13"/>
  <c r="I10" i="24"/>
  <c r="H12" i="13"/>
  <c r="I9" i="24"/>
  <c r="H40" i="13"/>
  <c r="E23" i="20"/>
  <c r="G23" i="20"/>
  <c r="E32" i="20"/>
  <c r="G32" i="20"/>
  <c r="E37" i="20"/>
  <c r="G37" i="20"/>
  <c r="E31" i="20"/>
  <c r="G31" i="20"/>
  <c r="E22" i="20"/>
  <c r="G22" i="20"/>
  <c r="E19" i="20"/>
  <c r="G19" i="20"/>
  <c r="E24" i="20"/>
  <c r="G24" i="20"/>
  <c r="E13" i="20"/>
  <c r="G13" i="20"/>
  <c r="E35" i="20"/>
  <c r="G35" i="20"/>
  <c r="E27" i="20"/>
  <c r="G27" i="20"/>
  <c r="E9" i="20"/>
  <c r="H34" i="15"/>
  <c r="G31" i="24"/>
  <c r="E25" i="20"/>
  <c r="G25" i="20"/>
  <c r="H19" i="15"/>
  <c r="G16" i="24"/>
  <c r="E17" i="20"/>
  <c r="G17" i="20"/>
  <c r="E16" i="20"/>
  <c r="G16" i="20"/>
  <c r="E15" i="20"/>
  <c r="G15" i="20"/>
  <c r="E34" i="20"/>
  <c r="G34" i="20"/>
  <c r="E20" i="20"/>
  <c r="G20" i="20"/>
  <c r="E21" i="20"/>
  <c r="G21" i="20"/>
  <c r="H17" i="15"/>
  <c r="G14" i="24"/>
  <c r="E14" i="20"/>
  <c r="G14" i="20"/>
  <c r="H37" i="15"/>
  <c r="G34" i="24"/>
  <c r="H26" i="15"/>
  <c r="G23" i="24"/>
  <c r="E33" i="20"/>
  <c r="G33" i="20"/>
  <c r="E18" i="20"/>
  <c r="G18" i="20"/>
  <c r="J39" i="17"/>
  <c r="E36" i="20"/>
  <c r="G36" i="20"/>
  <c r="E28" i="20"/>
  <c r="G28" i="20"/>
  <c r="E26" i="20"/>
  <c r="G26" i="20"/>
  <c r="H30" i="15"/>
  <c r="G27" i="24"/>
  <c r="H24" i="15"/>
  <c r="G21" i="24"/>
  <c r="H38" i="15"/>
  <c r="G35" i="24"/>
  <c r="H11" i="15"/>
  <c r="G8" i="24"/>
  <c r="H20" i="15"/>
  <c r="G17" i="24"/>
  <c r="H22" i="15"/>
  <c r="G19" i="24"/>
  <c r="H35" i="15"/>
  <c r="G32" i="24"/>
  <c r="H32" i="15"/>
  <c r="G29" i="24"/>
  <c r="H21" i="15"/>
  <c r="G18" i="24"/>
  <c r="H14" i="15"/>
  <c r="G11" i="24"/>
  <c r="H25" i="15"/>
  <c r="G22" i="24"/>
  <c r="H28" i="15"/>
  <c r="G25" i="24"/>
  <c r="H36" i="15"/>
  <c r="G33" i="24"/>
  <c r="H10" i="15"/>
  <c r="G7" i="24"/>
  <c r="J7" i="24"/>
  <c r="L39" i="17"/>
  <c r="H31" i="15"/>
  <c r="G28" i="24"/>
  <c r="H23" i="15"/>
  <c r="G20" i="24"/>
  <c r="H29" i="15"/>
  <c r="G26" i="24"/>
  <c r="H16" i="15"/>
  <c r="H33" i="15"/>
  <c r="G30" i="24"/>
  <c r="H27" i="15"/>
  <c r="G24" i="24"/>
  <c r="H13" i="15"/>
  <c r="G10" i="24"/>
  <c r="E29" i="20"/>
  <c r="G29" i="20"/>
  <c r="E30" i="20"/>
  <c r="G30" i="20"/>
  <c r="H12" i="15"/>
  <c r="G9" i="24"/>
  <c r="E11" i="20"/>
  <c r="G11" i="20"/>
  <c r="E12" i="20"/>
  <c r="G12" i="20"/>
  <c r="E10" i="20"/>
  <c r="G10" i="20"/>
  <c r="H15" i="15"/>
  <c r="G12" i="24"/>
  <c r="H18" i="15"/>
  <c r="G15" i="24"/>
  <c r="F40" i="15"/>
  <c r="G13" i="24"/>
  <c r="G9" i="20"/>
  <c r="E39" i="20"/>
  <c r="G39" i="20"/>
  <c r="H40" i="15"/>
  <c r="J29" i="24"/>
  <c r="J34" i="24"/>
  <c r="J24" i="24"/>
  <c r="J30" i="24"/>
  <c r="J11" i="24"/>
  <c r="J28" i="24"/>
  <c r="J6" i="24"/>
  <c r="B15" i="32"/>
  <c r="C8" i="32"/>
  <c r="B5" i="32"/>
  <c r="C5" i="32"/>
  <c r="B8" i="32"/>
  <c r="B11" i="32"/>
  <c r="C11" i="32"/>
  <c r="B9" i="32"/>
  <c r="C9" i="32"/>
  <c r="B12" i="32"/>
  <c r="C12" i="32"/>
  <c r="B6" i="32"/>
  <c r="C6" i="32"/>
  <c r="J32" i="24" l="1"/>
  <c r="G37" i="24"/>
  <c r="J22" i="24"/>
  <c r="N35" i="24"/>
  <c r="N13" i="24"/>
  <c r="N21" i="24"/>
  <c r="N29" i="24"/>
  <c r="N11" i="24"/>
  <c r="N19" i="24"/>
  <c r="N27" i="24"/>
  <c r="N6" i="24"/>
  <c r="N14" i="24"/>
  <c r="N8" i="24"/>
  <c r="N16" i="24"/>
  <c r="N24" i="24"/>
  <c r="N32" i="24"/>
  <c r="N10" i="24"/>
  <c r="N25" i="24"/>
  <c r="N17" i="24"/>
  <c r="N30" i="24"/>
  <c r="N22" i="24"/>
  <c r="N34" i="24"/>
  <c r="N7" i="24"/>
  <c r="N26" i="24"/>
  <c r="N18" i="24"/>
  <c r="N31" i="24"/>
  <c r="N12" i="24"/>
  <c r="N33" i="24"/>
  <c r="N23" i="24"/>
  <c r="J33" i="24"/>
  <c r="N20" i="24"/>
  <c r="N9" i="24"/>
  <c r="J23" i="24"/>
  <c r="J13" i="24"/>
  <c r="J19" i="24"/>
  <c r="J14" i="24"/>
  <c r="C15" i="32"/>
  <c r="J27" i="24"/>
  <c r="J25" i="24"/>
  <c r="K14" i="24" l="1"/>
  <c r="O14" i="24" s="1"/>
  <c r="P14" i="24" s="1"/>
  <c r="N37" i="24"/>
  <c r="K13" i="24"/>
  <c r="O13" i="24" s="1"/>
  <c r="K32" i="24"/>
  <c r="O32" i="24" s="1"/>
  <c r="P32" i="24" s="1"/>
  <c r="K25" i="24"/>
  <c r="O25" i="24" s="1"/>
  <c r="P25" i="24" s="1"/>
  <c r="J37" i="24"/>
  <c r="P13" i="24"/>
  <c r="R25" i="24" l="1"/>
  <c r="S25" i="24" s="1"/>
  <c r="R32" i="24"/>
  <c r="S32" i="24" s="1"/>
  <c r="R14" i="24"/>
  <c r="S14" i="24" s="1"/>
  <c r="R13" i="24"/>
  <c r="S13" i="24" s="1"/>
  <c r="K12" i="24"/>
  <c r="O12" i="24" s="1"/>
  <c r="P12" i="24" s="1"/>
  <c r="K9" i="24"/>
  <c r="O9" i="24" s="1"/>
  <c r="P9" i="24" s="1"/>
  <c r="K7" i="24"/>
  <c r="O7" i="24" s="1"/>
  <c r="P7" i="24" s="1"/>
  <c r="K20" i="24"/>
  <c r="O20" i="24" s="1"/>
  <c r="P20" i="24" s="1"/>
  <c r="K30" i="24"/>
  <c r="O30" i="24" s="1"/>
  <c r="P30" i="24" s="1"/>
  <c r="K8" i="24"/>
  <c r="O8" i="24" s="1"/>
  <c r="P8" i="24" s="1"/>
  <c r="K35" i="24"/>
  <c r="O35" i="24" s="1"/>
  <c r="P35" i="24" s="1"/>
  <c r="K10" i="24"/>
  <c r="O10" i="24" s="1"/>
  <c r="P10" i="24" s="1"/>
  <c r="K6" i="24"/>
  <c r="K11" i="24"/>
  <c r="O11" i="24" s="1"/>
  <c r="P11" i="24" s="1"/>
  <c r="K31" i="24"/>
  <c r="O31" i="24" s="1"/>
  <c r="P31" i="24" s="1"/>
  <c r="K24" i="24"/>
  <c r="O24" i="24" s="1"/>
  <c r="P24" i="24" s="1"/>
  <c r="K26" i="24"/>
  <c r="O26" i="24" s="1"/>
  <c r="P26" i="24" s="1"/>
  <c r="K28" i="24"/>
  <c r="O28" i="24" s="1"/>
  <c r="P28" i="24" s="1"/>
  <c r="K21" i="24"/>
  <c r="O21" i="24" s="1"/>
  <c r="P21" i="24" s="1"/>
  <c r="K17" i="24"/>
  <c r="O17" i="24" s="1"/>
  <c r="P17" i="24" s="1"/>
  <c r="K15" i="24"/>
  <c r="O15" i="24" s="1"/>
  <c r="P15" i="24" s="1"/>
  <c r="K34" i="24"/>
  <c r="O34" i="24" s="1"/>
  <c r="P34" i="24" s="1"/>
  <c r="K16" i="24"/>
  <c r="O16" i="24" s="1"/>
  <c r="P16" i="24" s="1"/>
  <c r="K18" i="24"/>
  <c r="O18" i="24" s="1"/>
  <c r="P18" i="24" s="1"/>
  <c r="K29" i="24"/>
  <c r="O29" i="24" s="1"/>
  <c r="P29" i="24" s="1"/>
  <c r="K27" i="24"/>
  <c r="O27" i="24" s="1"/>
  <c r="P27" i="24" s="1"/>
  <c r="K22" i="24"/>
  <c r="O22" i="24" s="1"/>
  <c r="P22" i="24" s="1"/>
  <c r="K23" i="24"/>
  <c r="O23" i="24" s="1"/>
  <c r="P23" i="24" s="1"/>
  <c r="K19" i="24"/>
  <c r="O19" i="24" s="1"/>
  <c r="P19" i="24" s="1"/>
  <c r="K33" i="24"/>
  <c r="O33" i="24" s="1"/>
  <c r="P33" i="24" s="1"/>
  <c r="R23" i="24" l="1"/>
  <c r="S23" i="24" s="1"/>
  <c r="R17" i="24"/>
  <c r="S17" i="24" s="1"/>
  <c r="R10" i="24"/>
  <c r="S10" i="24" s="1"/>
  <c r="R22" i="24"/>
  <c r="S22" i="24" s="1"/>
  <c r="R21" i="24"/>
  <c r="S21" i="24" s="1"/>
  <c r="R35" i="24"/>
  <c r="S35" i="24" s="1"/>
  <c r="R27" i="24"/>
  <c r="S27" i="24" s="1"/>
  <c r="R28" i="24"/>
  <c r="S28" i="24" s="1"/>
  <c r="R8" i="24"/>
  <c r="S8" i="24" s="1"/>
  <c r="R29" i="24"/>
  <c r="S29" i="24" s="1"/>
  <c r="R26" i="24"/>
  <c r="S26" i="24" s="1"/>
  <c r="R30" i="24"/>
  <c r="S30" i="24" s="1"/>
  <c r="R18" i="24"/>
  <c r="S18" i="24" s="1"/>
  <c r="R24" i="24"/>
  <c r="S24" i="24" s="1"/>
  <c r="R20" i="24"/>
  <c r="S20" i="24" s="1"/>
  <c r="R16" i="24"/>
  <c r="S16" i="24" s="1"/>
  <c r="R31" i="24"/>
  <c r="S31" i="24" s="1"/>
  <c r="R7" i="24"/>
  <c r="S7" i="24" s="1"/>
  <c r="R33" i="24"/>
  <c r="S33" i="24" s="1"/>
  <c r="R34" i="24"/>
  <c r="S34" i="24" s="1"/>
  <c r="R11" i="24"/>
  <c r="S11" i="24" s="1"/>
  <c r="R9" i="24"/>
  <c r="S9" i="24" s="1"/>
  <c r="R19" i="24"/>
  <c r="S19" i="24" s="1"/>
  <c r="R15" i="24"/>
  <c r="S15" i="24" s="1"/>
  <c r="O6" i="24"/>
  <c r="K37" i="24"/>
  <c r="R12" i="24"/>
  <c r="S12" i="24" s="1"/>
  <c r="O37" i="24" l="1"/>
  <c r="P6" i="24"/>
  <c r="P37" i="24" l="1"/>
  <c r="R6" i="24"/>
  <c r="S6" i="24" l="1"/>
  <c r="R37" i="24"/>
  <c r="S37" i="24" s="1"/>
  <c r="Q25" i="24"/>
  <c r="Q32" i="24"/>
  <c r="Q14" i="24"/>
  <c r="Q13" i="24"/>
  <c r="Q21" i="24"/>
  <c r="Q11" i="24"/>
  <c r="Q23" i="24"/>
  <c r="Q8" i="24"/>
  <c r="Q18" i="24"/>
  <c r="Q31" i="24"/>
  <c r="Q29" i="24"/>
  <c r="Q9" i="24"/>
  <c r="Q12" i="24"/>
  <c r="Q17" i="24"/>
  <c r="Q24" i="24"/>
  <c r="Q20" i="24"/>
  <c r="Q19" i="24"/>
  <c r="Q10" i="24"/>
  <c r="Q30" i="24"/>
  <c r="Q15" i="24"/>
  <c r="Q28" i="24"/>
  <c r="Q35" i="24"/>
  <c r="Q7" i="24"/>
  <c r="Q27" i="24"/>
  <c r="Q26" i="24"/>
  <c r="Q33" i="24"/>
  <c r="Q22" i="24"/>
  <c r="Q34" i="24"/>
  <c r="Q16" i="24"/>
  <c r="Q6" i="24"/>
  <c r="Q37" i="24" s="1"/>
</calcChain>
</file>

<file path=xl/sharedStrings.xml><?xml version="1.0" encoding="utf-8"?>
<sst xmlns="http://schemas.openxmlformats.org/spreadsheetml/2006/main" count="1040" uniqueCount="338">
  <si>
    <t>Inst ID</t>
  </si>
  <si>
    <t>Institution Name</t>
  </si>
  <si>
    <t>0203</t>
  </si>
  <si>
    <t>Alexandria TC</t>
  </si>
  <si>
    <t>0152</t>
  </si>
  <si>
    <t>0070</t>
  </si>
  <si>
    <t>0301</t>
  </si>
  <si>
    <t>Central Lakes College</t>
  </si>
  <si>
    <t>0304</t>
  </si>
  <si>
    <t>Century College</t>
  </si>
  <si>
    <t>0211</t>
  </si>
  <si>
    <t>Dakota County TC</t>
  </si>
  <si>
    <t>0163</t>
  </si>
  <si>
    <t>Fond du Lac Tribal &amp; CC</t>
  </si>
  <si>
    <t>0204</t>
  </si>
  <si>
    <t>Hennepin TC</t>
  </si>
  <si>
    <t>0302</t>
  </si>
  <si>
    <t>Lake Superior College</t>
  </si>
  <si>
    <t>0076</t>
  </si>
  <si>
    <t>0305</t>
  </si>
  <si>
    <t>Minneapolis College</t>
  </si>
  <si>
    <t>0213</t>
  </si>
  <si>
    <t>0071</t>
  </si>
  <si>
    <t>Minnesota SU, Mankato</t>
  </si>
  <si>
    <t>0209</t>
  </si>
  <si>
    <t>Minnesota West College</t>
  </si>
  <si>
    <t>0072</t>
  </si>
  <si>
    <t>0156</t>
  </si>
  <si>
    <t>Normandale CC</t>
  </si>
  <si>
    <t>0153</t>
  </si>
  <si>
    <t>North Hennepin CC</t>
  </si>
  <si>
    <t>0303</t>
  </si>
  <si>
    <t>Northland College</t>
  </si>
  <si>
    <t>0205</t>
  </si>
  <si>
    <t>Pine TC</t>
  </si>
  <si>
    <t>0308</t>
  </si>
  <si>
    <t>Ridgewater College</t>
  </si>
  <si>
    <t>0307</t>
  </si>
  <si>
    <t>Riverland College</t>
  </si>
  <si>
    <t>0306</t>
  </si>
  <si>
    <t>Rochester College</t>
  </si>
  <si>
    <t>0309</t>
  </si>
  <si>
    <t>0075</t>
  </si>
  <si>
    <t>0073</t>
  </si>
  <si>
    <t>St. Cloud SU</t>
  </si>
  <si>
    <t>0208</t>
  </si>
  <si>
    <t>0206</t>
  </si>
  <si>
    <t>0074</t>
  </si>
  <si>
    <t>Winona SU</t>
  </si>
  <si>
    <t>TOTAL</t>
  </si>
  <si>
    <t>MnSCU Finance Division</t>
  </si>
  <si>
    <t>I</t>
  </si>
  <si>
    <t>A</t>
  </si>
  <si>
    <t>B</t>
  </si>
  <si>
    <t>D</t>
  </si>
  <si>
    <t>C</t>
  </si>
  <si>
    <t>E</t>
  </si>
  <si>
    <t>F</t>
  </si>
  <si>
    <t>G</t>
  </si>
  <si>
    <t>H</t>
  </si>
  <si>
    <t>K</t>
  </si>
  <si>
    <t>M</t>
  </si>
  <si>
    <t>Minnesota SU Moorhead</t>
  </si>
  <si>
    <t>Northeast Higher Education District</t>
  </si>
  <si>
    <t>N</t>
  </si>
  <si>
    <t>O</t>
  </si>
  <si>
    <t>Allocation for Facilities</t>
  </si>
  <si>
    <t>TOTAL ALLOCATION FRAMEWORK</t>
  </si>
  <si>
    <t>Metropolitan SU</t>
  </si>
  <si>
    <t>Southwest Minnesota SU</t>
  </si>
  <si>
    <t>Saint Paul College</t>
  </si>
  <si>
    <t>Minnesota SC-Southeast Technical</t>
  </si>
  <si>
    <t>Minnesota State Colleges and Universities</t>
  </si>
  <si>
    <t>INSTRUCTION AND ACADEMIC SUPPORT</t>
  </si>
  <si>
    <t>b</t>
  </si>
  <si>
    <t>c</t>
  </si>
  <si>
    <t>d</t>
  </si>
  <si>
    <t>e</t>
  </si>
  <si>
    <t>f</t>
  </si>
  <si>
    <t>b+c+d+e+f</t>
  </si>
  <si>
    <t>a+g</t>
  </si>
  <si>
    <t>a</t>
  </si>
  <si>
    <t>10% of LD expended</t>
  </si>
  <si>
    <t>g</t>
  </si>
  <si>
    <t>h</t>
  </si>
  <si>
    <t>Institution</t>
  </si>
  <si>
    <t>Lower Division (LD) Change</t>
  </si>
  <si>
    <t>Regional Dean of Mgmt Education</t>
  </si>
  <si>
    <t>Departmental Research</t>
  </si>
  <si>
    <t>Upper Division (UD) Change</t>
  </si>
  <si>
    <t>Graduate (GR) Change</t>
  </si>
  <si>
    <t>Instruction &amp; Academic Support Change</t>
  </si>
  <si>
    <t>ACADEMIC SUPPORT PER FYE ADDED TO EACH INSTRUCTIONAL PROGRAM</t>
  </si>
  <si>
    <t>c/d</t>
  </si>
  <si>
    <t>Academic Support Per FYE Added to Each Instructional Program</t>
  </si>
  <si>
    <t>SEPARATELY BUDGETED RESEARCH AND PUBLIC SERVICE</t>
  </si>
  <si>
    <t>Allocation for Separately Budgeted Research and Public Service</t>
  </si>
  <si>
    <t>Total</t>
  </si>
  <si>
    <t>REVENUE OFFSET</t>
  </si>
  <si>
    <t>a-b</t>
  </si>
  <si>
    <t>Less Specific Revenue</t>
  </si>
  <si>
    <t>Net GEN Revenue</t>
  </si>
  <si>
    <t>a * c</t>
  </si>
  <si>
    <t>$500/fye</t>
  </si>
  <si>
    <t>k</t>
  </si>
  <si>
    <t>Dollars per FYE</t>
  </si>
  <si>
    <t xml:space="preserve">Dollars Generated Per FYE   </t>
  </si>
  <si>
    <t>Allocation    Sub-Total</t>
  </si>
  <si>
    <t>Multi Campus Adjustment</t>
  </si>
  <si>
    <t>FACILITIES -- OPERATIONS AND REPAIR/REPLACEMENT</t>
  </si>
  <si>
    <t>Operations and Maintenance</t>
  </si>
  <si>
    <t>Multiple Campus Factor</t>
  </si>
  <si>
    <t>Gross Operations</t>
  </si>
  <si>
    <t>SQ FT</t>
  </si>
  <si>
    <t>0442</t>
  </si>
  <si>
    <t>0403</t>
  </si>
  <si>
    <t>i</t>
  </si>
  <si>
    <t>Minnesota State College</t>
  </si>
  <si>
    <t>Bemidji SU &amp; Northwest TC-Bemidji</t>
  </si>
  <si>
    <t>50% Allocation Framework % Share</t>
  </si>
  <si>
    <t>P</t>
  </si>
  <si>
    <t>a*(1-b)</t>
  </si>
  <si>
    <t>South Central College</t>
  </si>
  <si>
    <t>0411</t>
  </si>
  <si>
    <t>Revenue Buydown</t>
  </si>
  <si>
    <t>J</t>
  </si>
  <si>
    <t>90/110</t>
  </si>
  <si>
    <t>St. Cloud College</t>
  </si>
  <si>
    <t>j</t>
  </si>
  <si>
    <t>Anoka Ramsey CC - Anoka TC</t>
  </si>
  <si>
    <t>*MnSCU funds 110 and 830; excludes auxiliary/agency activities and transfers</t>
  </si>
  <si>
    <t>STUDENT SUPPORT SERVICES AND INSTITUTIONAL SUPPORT</t>
  </si>
  <si>
    <t>Enter Base #</t>
  </si>
  <si>
    <t>Alexandria TCC</t>
  </si>
  <si>
    <t>Minneapolis CTC</t>
  </si>
  <si>
    <t>Pine TCC</t>
  </si>
  <si>
    <t>Riverland Community College</t>
  </si>
  <si>
    <t>Normandale Community College</t>
  </si>
  <si>
    <t>North Hennepin Community College</t>
  </si>
  <si>
    <t>Northland CTC</t>
  </si>
  <si>
    <t>Rochester CTC</t>
  </si>
  <si>
    <t>St. Cloud TCC</t>
  </si>
  <si>
    <t>FY2017 Allocation for Instruction &amp; Academic Support</t>
  </si>
  <si>
    <t>Minnesota West CTC</t>
  </si>
  <si>
    <t>Q</t>
  </si>
  <si>
    <t>Hennepin Technical College</t>
  </si>
  <si>
    <t>Metropolitan State University</t>
  </si>
  <si>
    <t>Minnesota State CTC</t>
  </si>
  <si>
    <t>FY2018 Allocation for Instruction &amp; Academic Support</t>
  </si>
  <si>
    <t>2 Year Average Allocation Instruction</t>
  </si>
  <si>
    <t>Avg (h+i)</t>
  </si>
  <si>
    <t>e=c*(1-d)</t>
  </si>
  <si>
    <t>Research</t>
  </si>
  <si>
    <t>Public Service</t>
  </si>
  <si>
    <t xml:space="preserve">FY2018 Base Allocation </t>
  </si>
  <si>
    <t>% Share of FY2018 Allocation</t>
  </si>
  <si>
    <t>Dakota County TC - Inver Hills CC</t>
  </si>
  <si>
    <t>Allocation for Student Success</t>
  </si>
  <si>
    <t>Sum A thru E</t>
  </si>
  <si>
    <t>F/tot F</t>
  </si>
  <si>
    <t>H/tot H</t>
  </si>
  <si>
    <t>i*$X</t>
  </si>
  <si>
    <t>L</t>
  </si>
  <si>
    <t>j+k</t>
  </si>
  <si>
    <t>g*$X</t>
  </si>
  <si>
    <t>L/tot L</t>
  </si>
  <si>
    <t>L-H</t>
  </si>
  <si>
    <t>N/H</t>
  </si>
  <si>
    <t>The lower the %, the more expenses are recognized</t>
  </si>
  <si>
    <t>(c-d)/c</t>
  </si>
  <si>
    <t xml:space="preserve"> c</t>
  </si>
  <si>
    <t>Student Support and Institutional Support Regression Split and Headcount Recognition</t>
  </si>
  <si>
    <t>Student Support and Institutional Support Regression Splt and Headcount Recognition</t>
  </si>
  <si>
    <t>e*g</t>
  </si>
  <si>
    <t>b + d + f +h</t>
  </si>
  <si>
    <t>i*(1-f)</t>
  </si>
  <si>
    <t>k + l</t>
  </si>
  <si>
    <t>l</t>
  </si>
  <si>
    <t>m</t>
  </si>
  <si>
    <t>n</t>
  </si>
  <si>
    <t>Institutional Support Core</t>
  </si>
  <si>
    <t>Student Services Core</t>
  </si>
  <si>
    <t>Dollars per Headcount</t>
  </si>
  <si>
    <t>Dollars Generated Per Headcount</t>
  </si>
  <si>
    <t>Core plus Dollars per Headcount/FYE</t>
  </si>
  <si>
    <t>2 Year Average Allocation Student Services &amp; Institutional Support</t>
  </si>
  <si>
    <t>FY2016 FYE</t>
  </si>
  <si>
    <t>Includes Library Spending</t>
  </si>
  <si>
    <t xml:space="preserve">Minnesota SC-Southeast </t>
  </si>
  <si>
    <t>Student Success Measures</t>
  </si>
  <si>
    <t>Exceeding Expected Rates</t>
  </si>
  <si>
    <t>Improved Rates for SOC</t>
  </si>
  <si>
    <t>Table 2: Actual and Expected Third Term Persistence and Completion Rates and Additional Successful Students</t>
  </si>
  <si>
    <t>Colleges / Universities</t>
  </si>
  <si>
    <t>Cohort</t>
  </si>
  <si>
    <t>Success-ful</t>
  </si>
  <si>
    <t>Actual Rate</t>
  </si>
  <si>
    <t>Expected Rate</t>
  </si>
  <si>
    <t>Upper Limit One SD</t>
  </si>
  <si>
    <t>Expected Successful One SD</t>
  </si>
  <si>
    <t>Allocation</t>
  </si>
  <si>
    <t>Alexandria Technical and Community College</t>
  </si>
  <si>
    <t>Anoka-Ramsey Community College</t>
  </si>
  <si>
    <t>Anoka Technical College</t>
  </si>
  <si>
    <t>Dakota County Technical College</t>
  </si>
  <si>
    <t>Inver Hills Community College</t>
  </si>
  <si>
    <t>Minneapolis Community and Technical College</t>
  </si>
  <si>
    <t>Minnesota State College - Southeast Technical</t>
  </si>
  <si>
    <t>Minnesota State Community and Technical College</t>
  </si>
  <si>
    <t xml:space="preserve">   Hibbing Community College</t>
  </si>
  <si>
    <t xml:space="preserve">   Itasca Community College</t>
  </si>
  <si>
    <t xml:space="preserve">   Mesabi Range College</t>
  </si>
  <si>
    <t xml:space="preserve">   Rainy River Community College</t>
  </si>
  <si>
    <t xml:space="preserve">   Vermilion Community College</t>
  </si>
  <si>
    <t>Northland Community &amp; Technical College</t>
  </si>
  <si>
    <t>Northwest Technical College - Bemidji</t>
  </si>
  <si>
    <t>Pine Technical and Community College</t>
  </si>
  <si>
    <t>Rochester Community and Technical College</t>
  </si>
  <si>
    <t>St. Cloud Technical and Community College</t>
  </si>
  <si>
    <t>Colleges</t>
  </si>
  <si>
    <t>Bemidji State University</t>
  </si>
  <si>
    <t>Minnesota State University, Mankato</t>
  </si>
  <si>
    <t>Minnesota State University Moorhead</t>
  </si>
  <si>
    <t>St. Cloud State University</t>
  </si>
  <si>
    <t>Southwest Minnesota State University</t>
  </si>
  <si>
    <t>Winona State University</t>
  </si>
  <si>
    <t>Universities</t>
  </si>
  <si>
    <t>System</t>
  </si>
  <si>
    <t>Table 3: Persistence and Completion at Third Term - Students of Color</t>
  </si>
  <si>
    <t>Change</t>
  </si>
  <si>
    <t>Addnl Success-</t>
  </si>
  <si>
    <t>College / University</t>
  </si>
  <si>
    <t>Denominator</t>
  </si>
  <si>
    <t>ful Students</t>
  </si>
  <si>
    <t>Fond du Lac Tribal and Community College</t>
  </si>
  <si>
    <t>Minnesota State College Southeast</t>
  </si>
  <si>
    <t>Minnesota West Community and Technical College</t>
  </si>
  <si>
    <t>Hibbing Community College</t>
  </si>
  <si>
    <t>Itasca Community College</t>
  </si>
  <si>
    <t>Mesabi Range College</t>
  </si>
  <si>
    <t>Rainy River Community College</t>
  </si>
  <si>
    <t>Vermilion Community College</t>
  </si>
  <si>
    <t>Northland Community and Technical College</t>
  </si>
  <si>
    <t>Additional Weight Modeling based on total headcount and underrepresented headcount</t>
  </si>
  <si>
    <t xml:space="preserve">Additional Weight </t>
  </si>
  <si>
    <t>Concurrrent Weight</t>
  </si>
  <si>
    <t>g=c+d+e-f</t>
  </si>
  <si>
    <t>h=g x weight</t>
  </si>
  <si>
    <t>j=(a-b)+h+i</t>
  </si>
  <si>
    <t>k=j-a/a</t>
  </si>
  <si>
    <t>Total Students</t>
  </si>
  <si>
    <t>Concurrent Headcount</t>
  </si>
  <si>
    <t xml:space="preserve">First Generation </t>
  </si>
  <si>
    <t xml:space="preserve">Pell Eligible </t>
  </si>
  <si>
    <t>Students of Color</t>
  </si>
  <si>
    <t>Concurrent Under represented</t>
  </si>
  <si>
    <t>First Generation + Pell Eligible + Students of Color</t>
  </si>
  <si>
    <t>Percent of Total</t>
  </si>
  <si>
    <t>Additional Weight for First Generation and Pell Eligible</t>
  </si>
  <si>
    <t>Concurrent Weigh</t>
  </si>
  <si>
    <t>Total Adjusted Headcount</t>
  </si>
  <si>
    <t>Percent Change in Adjusted Student Headcount</t>
  </si>
  <si>
    <t>Subtotal:  Colleges</t>
  </si>
  <si>
    <t>Subtotal:  Universities</t>
  </si>
  <si>
    <t>Total: System</t>
  </si>
  <si>
    <t>Total To Be Allocated</t>
  </si>
  <si>
    <t>Minnesota State</t>
  </si>
  <si>
    <t xml:space="preserve">Minnesota State </t>
  </si>
  <si>
    <t>Metro Colleges</t>
  </si>
  <si>
    <t>Non-Metro Colleges</t>
  </si>
  <si>
    <t>Allocation Framework Sector Differences</t>
  </si>
  <si>
    <t>Metro all</t>
  </si>
  <si>
    <t>Non-Metro all</t>
  </si>
  <si>
    <t>Overall shift</t>
  </si>
  <si>
    <t>$ change</t>
  </si>
  <si>
    <t>% of $508 million</t>
  </si>
  <si>
    <t>Instruction &amp; Academic Support</t>
  </si>
  <si>
    <t>Facilities</t>
  </si>
  <si>
    <t>Student Success</t>
  </si>
  <si>
    <t>Student Services &amp; Institutional Support</t>
  </si>
  <si>
    <t>Research &amp; Public Service</t>
  </si>
  <si>
    <t>% Share of Allocation Framework</t>
  </si>
  <si>
    <t>R</t>
  </si>
  <si>
    <t>S</t>
  </si>
  <si>
    <t>FY14-17 Tuition Relief Allocation</t>
  </si>
  <si>
    <t>50% FY2018 Base % Share</t>
  </si>
  <si>
    <t xml:space="preserve">FY2019 Base Allocation </t>
  </si>
  <si>
    <t>% Share of FY2019 Allocation</t>
  </si>
  <si>
    <t>$ Change Over FY2018</t>
  </si>
  <si>
    <t>% Change Over FY2018</t>
  </si>
  <si>
    <t>FY2019 Allocation for Student Services &amp; Institutional Support</t>
  </si>
  <si>
    <t xml:space="preserve">BASED ON FY2017 System DATA </t>
  </si>
  <si>
    <t>FY2017 Total GEN Revenue</t>
  </si>
  <si>
    <t>FY2017 Total State Appropriation</t>
  </si>
  <si>
    <t>FY2017 FYE</t>
  </si>
  <si>
    <t>BASED ON FY2017 System DATA -- February 2018</t>
  </si>
  <si>
    <t>FY2017 Academic Support Net Expenditures</t>
  </si>
  <si>
    <t>FY2017 Academic Support State Appro Expended</t>
  </si>
  <si>
    <t>FY2018 Instruction &amp; Academic Support State Appro Expended</t>
  </si>
  <si>
    <t>BASED ON FY2017 System DATA and FY2016 NATIONAL DATA --February 2018</t>
  </si>
  <si>
    <t>Fiscal Year 2019 Based on FY2017 Headcount</t>
  </si>
  <si>
    <t>Adjusted FY2017 Headcount</t>
  </si>
  <si>
    <t>FY2018 Allocation for Student Services &amp; Institutional Support</t>
  </si>
  <si>
    <t>BASED ON FY2017 System DATA  -- February 2018</t>
  </si>
  <si>
    <t>FY2017</t>
  </si>
  <si>
    <t xml:space="preserve">  Hibbing Community College</t>
  </si>
  <si>
    <t xml:space="preserve">  Itasca Community College</t>
  </si>
  <si>
    <t xml:space="preserve">  Mesabi Range College</t>
  </si>
  <si>
    <t xml:space="preserve">  Rainy River Community College</t>
  </si>
  <si>
    <t xml:space="preserve">  Vermilion Community College</t>
  </si>
  <si>
    <t>Expected Success-ful</t>
  </si>
  <si>
    <t>Addnl Success-ful Students One SD</t>
  </si>
  <si>
    <t>Funds per Successful Student</t>
  </si>
  <si>
    <t xml:space="preserve">Fiscal Years 2014 to 2016 Entering Students </t>
  </si>
  <si>
    <t>Based on FY2014-2016 Enrollment Data</t>
  </si>
  <si>
    <t>Based on FY2017 System Data</t>
  </si>
  <si>
    <t>Rural College Campus Aid</t>
  </si>
  <si>
    <t xml:space="preserve"> FY18 Tuition Relief Allocation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</si>
  <si>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</si>
  <si>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</si>
  <si>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</si>
  <si>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</si>
  <si>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</si>
  <si>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</si>
  <si>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</si>
  <si>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</si>
  <si>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</si>
  <si>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</si>
  <si>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FY18 Buydown</t>
  </si>
  <si>
    <t>FY2019 Access &amp; Opportunity</t>
  </si>
  <si>
    <t>FP&amp;A - February 2018</t>
  </si>
  <si>
    <t>T</t>
  </si>
  <si>
    <t>Hold Harmless</t>
  </si>
  <si>
    <t>s:\finance\bargain\FY18 allocation\Summary of FY2019 Institutional Allocation Draft</t>
  </si>
  <si>
    <t>BASED ON FY2017 System DATA and FY2016 NATIONAL DATA -- February 2018</t>
  </si>
  <si>
    <t>Fiscal Year 2016 Entering Students</t>
  </si>
  <si>
    <t>2014-2016</t>
  </si>
  <si>
    <t>s:\finance\bargain\FY19 allocation\Summary of FY2019 Institutional Allocation 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</si>
</sst>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0_);[Red]\(#,##0.0000\)"/>
    <numFmt numFmtId="166" formatCode="#,##0.00000_);[Red]\(#,##0.00000\)"/>
    <numFmt numFmtId="167" formatCode="0.0%"/>
    <numFmt numFmtId="168" formatCode="_(* #,##0_);_(* \(#,##0\);_(* &quot;-&quot;??_);_(@_)"/>
    <numFmt numFmtId="169" formatCode="&quot;$&quot;#,##0"/>
    <numFmt numFmtId="170" formatCode="#,##0.0000000000"/>
    <numFmt numFmtId="171" formatCode="_(&quot;$&quot;* #,##0_);_(&quot;$&quot;* \(#,##0\);_(&quot;$&quot;* &quot;-&quot;??_);_(@_)"/>
    <numFmt numFmtId="172" formatCode="0.00000%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MS Sans Serif"/>
    </font>
    <font>
      <b/>
      <sz val="10"/>
      <name val="MS Sans Serif"/>
      <family val="2"/>
    </font>
    <font>
      <b/>
      <sz val="10"/>
      <name val="MS Sans Serif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6337778862885"/>
        <bgColor rgb="FF000000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2">
    <xf numFmtId="0" fontId="0" fillId="0" borderId="0" xfId="0"/>
    <xf numFmtId="0" fontId="4" fillId="2" borderId="1" xfId="7" applyFont="1" applyFill="1" applyBorder="1" applyAlignment="1">
      <alignment horizontal="center" wrapText="1"/>
    </xf>
    <xf numFmtId="0" fontId="6" fillId="2" borderId="0" xfId="7" applyFont="1" applyFill="1" applyBorder="1" applyAlignment="1">
      <alignment horizontal="center" wrapText="1"/>
    </xf>
    <xf numFmtId="0" fontId="6" fillId="0" borderId="1" xfId="7" applyFont="1" applyFill="1" applyBorder="1" applyAlignment="1">
      <alignment horizontal="left" wrapText="1"/>
    </xf>
    <xf numFmtId="0" fontId="7" fillId="0" borderId="0" xfId="0" applyFont="1"/>
    <xf numFmtId="38" fontId="7" fillId="0" borderId="0" xfId="0" applyNumberFormat="1" applyFont="1"/>
    <xf numFmtId="10" fontId="0" fillId="0" borderId="0" xfId="0" applyNumberFormat="1"/>
    <xf numFmtId="10" fontId="7" fillId="0" borderId="0" xfId="0" applyNumberFormat="1" applyFont="1"/>
    <xf numFmtId="38" fontId="0" fillId="0" borderId="1" xfId="0" applyNumberFormat="1" applyBorder="1"/>
    <xf numFmtId="10" fontId="0" fillId="0" borderId="1" xfId="0" applyNumberFormat="1" applyBorder="1"/>
    <xf numFmtId="0" fontId="6" fillId="0" borderId="1" xfId="7" applyFont="1" applyFill="1" applyBorder="1" applyAlignment="1">
      <alignment horizontal="center" wrapText="1"/>
    </xf>
    <xf numFmtId="38" fontId="0" fillId="0" borderId="0" xfId="0" applyNumberFormat="1"/>
    <xf numFmtId="3" fontId="7" fillId="0" borderId="0" xfId="0" applyNumberFormat="1" applyFont="1"/>
    <xf numFmtId="0" fontId="7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0" fillId="0" borderId="0" xfId="0" applyBorder="1"/>
    <xf numFmtId="49" fontId="8" fillId="0" borderId="0" xfId="0" applyNumberFormat="1" applyFont="1" applyAlignment="1">
      <alignment horizontal="left"/>
    </xf>
    <xf numFmtId="3" fontId="0" fillId="0" borderId="0" xfId="0" applyNumberFormat="1"/>
    <xf numFmtId="3" fontId="0" fillId="0" borderId="4" xfId="0" applyNumberFormat="1" applyBorder="1"/>
    <xf numFmtId="0" fontId="7" fillId="0" borderId="0" xfId="0" applyFont="1" applyBorder="1"/>
    <xf numFmtId="10" fontId="7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9" fillId="0" borderId="3" xfId="0" applyNumberFormat="1" applyFont="1" applyBorder="1" applyAlignment="1">
      <alignment horizontal="center"/>
    </xf>
    <xf numFmtId="168" fontId="0" fillId="0" borderId="0" xfId="1" applyNumberFormat="1" applyFont="1"/>
    <xf numFmtId="1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8" fontId="0" fillId="2" borderId="0" xfId="0" applyNumberFormat="1" applyFill="1"/>
    <xf numFmtId="10" fontId="0" fillId="0" borderId="0" xfId="0" applyNumberFormat="1" applyBorder="1"/>
    <xf numFmtId="0" fontId="10" fillId="0" borderId="0" xfId="0" applyFont="1" applyBorder="1"/>
    <xf numFmtId="0" fontId="7" fillId="0" borderId="4" xfId="0" applyFont="1" applyBorder="1" applyAlignment="1">
      <alignment horizontal="center" wrapText="1"/>
    </xf>
    <xf numFmtId="38" fontId="7" fillId="2" borderId="4" xfId="0" applyNumberFormat="1" applyFont="1" applyFill="1" applyBorder="1" applyAlignment="1">
      <alignment horizontal="center" wrapText="1"/>
    </xf>
    <xf numFmtId="38" fontId="7" fillId="0" borderId="0" xfId="0" applyNumberFormat="1" applyFont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6" fillId="2" borderId="0" xfId="8" applyFont="1" applyFill="1" applyBorder="1" applyAlignment="1">
      <alignment horizontal="center"/>
    </xf>
    <xf numFmtId="38" fontId="0" fillId="0" borderId="4" xfId="0" applyNumberFormat="1" applyBorder="1"/>
    <xf numFmtId="0" fontId="13" fillId="0" borderId="0" xfId="0" applyFont="1"/>
    <xf numFmtId="49" fontId="6" fillId="0" borderId="1" xfId="7" applyNumberFormat="1" applyFont="1" applyFill="1" applyBorder="1" applyAlignment="1">
      <alignment horizontal="center" wrapText="1"/>
    </xf>
    <xf numFmtId="38" fontId="0" fillId="2" borderId="4" xfId="0" applyNumberFormat="1" applyFill="1" applyBorder="1"/>
    <xf numFmtId="0" fontId="7" fillId="0" borderId="0" xfId="0" applyFont="1" applyBorder="1" applyAlignment="1">
      <alignment horizontal="left"/>
    </xf>
    <xf numFmtId="10" fontId="7" fillId="2" borderId="12" xfId="0" applyNumberFormat="1" applyFont="1" applyFill="1" applyBorder="1" applyAlignment="1">
      <alignment horizontal="center" wrapText="1"/>
    </xf>
    <xf numFmtId="10" fontId="0" fillId="2" borderId="0" xfId="0" applyNumberFormat="1" applyFill="1"/>
    <xf numFmtId="10" fontId="0" fillId="2" borderId="4" xfId="0" applyNumberFormat="1" applyFill="1" applyBorder="1"/>
    <xf numFmtId="0" fontId="0" fillId="2" borderId="0" xfId="0" applyFill="1"/>
    <xf numFmtId="0" fontId="12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7" fontId="0" fillId="0" borderId="4" xfId="9" applyNumberFormat="1" applyFont="1" applyBorder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0" fontId="0" fillId="2" borderId="1" xfId="9" applyNumberFormat="1" applyFont="1" applyFill="1" applyBorder="1"/>
    <xf numFmtId="10" fontId="7" fillId="2" borderId="0" xfId="0" applyNumberFormat="1" applyFont="1" applyFill="1"/>
    <xf numFmtId="3" fontId="0" fillId="0" borderId="0" xfId="0" applyNumberFormat="1" applyFill="1"/>
    <xf numFmtId="3" fontId="0" fillId="0" borderId="4" xfId="0" applyNumberFormat="1" applyFill="1" applyBorder="1"/>
    <xf numFmtId="0" fontId="0" fillId="0" borderId="0" xfId="0" applyFill="1"/>
    <xf numFmtId="38" fontId="0" fillId="0" borderId="0" xfId="0" applyNumberFormat="1" applyFill="1"/>
    <xf numFmtId="38" fontId="7" fillId="0" borderId="0" xfId="0" applyNumberFormat="1" applyFont="1" applyFill="1"/>
    <xf numFmtId="168" fontId="0" fillId="0" borderId="0" xfId="1" applyNumberFormat="1" applyFont="1" applyFill="1"/>
    <xf numFmtId="0" fontId="0" fillId="0" borderId="0" xfId="0" applyFill="1" applyBorder="1"/>
    <xf numFmtId="0" fontId="9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38" fontId="7" fillId="3" borderId="4" xfId="0" applyNumberFormat="1" applyFont="1" applyFill="1" applyBorder="1" applyAlignment="1">
      <alignment horizontal="center" wrapText="1"/>
    </xf>
    <xf numFmtId="38" fontId="0" fillId="3" borderId="0" xfId="0" applyNumberFormat="1" applyFill="1"/>
    <xf numFmtId="38" fontId="0" fillId="3" borderId="4" xfId="0" applyNumberFormat="1" applyFill="1" applyBorder="1"/>
    <xf numFmtId="0" fontId="0" fillId="4" borderId="0" xfId="0" applyFill="1"/>
    <xf numFmtId="3" fontId="7" fillId="4" borderId="0" xfId="0" applyNumberFormat="1" applyFont="1" applyFill="1"/>
    <xf numFmtId="10" fontId="9" fillId="4" borderId="0" xfId="0" applyNumberFormat="1" applyFont="1" applyFill="1" applyBorder="1" applyAlignment="1">
      <alignment horizontal="center"/>
    </xf>
    <xf numFmtId="10" fontId="9" fillId="4" borderId="3" xfId="0" applyNumberFormat="1" applyFont="1" applyFill="1" applyBorder="1" applyAlignment="1">
      <alignment horizontal="center"/>
    </xf>
    <xf numFmtId="10" fontId="0" fillId="4" borderId="0" xfId="0" applyNumberFormat="1" applyFill="1"/>
    <xf numFmtId="38" fontId="0" fillId="4" borderId="1" xfId="0" applyNumberFormat="1" applyFill="1" applyBorder="1"/>
    <xf numFmtId="10" fontId="7" fillId="4" borderId="0" xfId="0" applyNumberFormat="1" applyFont="1" applyFill="1"/>
    <xf numFmtId="0" fontId="13" fillId="4" borderId="0" xfId="0" applyFont="1" applyFill="1" applyAlignment="1">
      <alignment horizontal="left"/>
    </xf>
    <xf numFmtId="38" fontId="0" fillId="4" borderId="0" xfId="0" applyNumberFormat="1" applyFill="1"/>
    <xf numFmtId="0" fontId="7" fillId="4" borderId="0" xfId="0" applyFont="1" applyFill="1" applyAlignment="1">
      <alignment horizontal="left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38" fontId="7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left"/>
    </xf>
    <xf numFmtId="0" fontId="7" fillId="4" borderId="1" xfId="0" applyFont="1" applyFill="1" applyBorder="1" applyAlignment="1">
      <alignment horizontal="center" wrapText="1"/>
    </xf>
    <xf numFmtId="0" fontId="4" fillId="4" borderId="1" xfId="8" applyFont="1" applyFill="1" applyBorder="1" applyAlignment="1">
      <alignment horizontal="center" wrapText="1"/>
    </xf>
    <xf numFmtId="38" fontId="7" fillId="4" borderId="1" xfId="0" applyNumberFormat="1" applyFont="1" applyFill="1" applyBorder="1" applyAlignment="1">
      <alignment horizontal="center" wrapText="1"/>
    </xf>
    <xf numFmtId="0" fontId="7" fillId="4" borderId="0" xfId="0" applyFont="1" applyFill="1" applyAlignment="1">
      <alignment wrapText="1"/>
    </xf>
    <xf numFmtId="0" fontId="6" fillId="4" borderId="0" xfId="8" applyFont="1" applyFill="1" applyBorder="1" applyAlignment="1">
      <alignment horizontal="center"/>
    </xf>
    <xf numFmtId="0" fontId="6" fillId="4" borderId="1" xfId="7" applyFont="1" applyFill="1" applyBorder="1" applyAlignment="1">
      <alignment horizontal="center" wrapText="1"/>
    </xf>
    <xf numFmtId="49" fontId="6" fillId="4" borderId="1" xfId="7" applyNumberFormat="1" applyFont="1" applyFill="1" applyBorder="1" applyAlignment="1">
      <alignment horizontal="center" wrapText="1"/>
    </xf>
    <xf numFmtId="49" fontId="8" fillId="4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/>
    <xf numFmtId="38" fontId="0" fillId="0" borderId="0" xfId="0" applyNumberFormat="1" applyFill="1" applyBorder="1"/>
    <xf numFmtId="38" fontId="7" fillId="0" borderId="0" xfId="0" applyNumberFormat="1" applyFont="1" applyFill="1" applyAlignment="1">
      <alignment horizontal="center"/>
    </xf>
    <xf numFmtId="3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8" fontId="0" fillId="0" borderId="1" xfId="0" applyNumberFormat="1" applyFill="1" applyBorder="1"/>
    <xf numFmtId="38" fontId="6" fillId="0" borderId="1" xfId="7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5" fontId="0" fillId="0" borderId="0" xfId="0" applyNumberFormat="1" applyFill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7" fontId="7" fillId="0" borderId="4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right"/>
    </xf>
    <xf numFmtId="169" fontId="7" fillId="0" borderId="4" xfId="2" applyNumberFormat="1" applyFont="1" applyFill="1" applyBorder="1" applyAlignment="1">
      <alignment horizontal="center"/>
    </xf>
    <xf numFmtId="169" fontId="7" fillId="0" borderId="0" xfId="2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" fontId="0" fillId="0" borderId="0" xfId="0" applyNumberFormat="1" applyFill="1"/>
    <xf numFmtId="38" fontId="7" fillId="0" borderId="4" xfId="0" applyNumberFormat="1" applyFont="1" applyFill="1" applyBorder="1" applyAlignment="1">
      <alignment horizontal="center" wrapText="1"/>
    </xf>
    <xf numFmtId="0" fontId="13" fillId="0" borderId="0" xfId="0" applyFont="1" applyFill="1"/>
    <xf numFmtId="6" fontId="0" fillId="0" borderId="0" xfId="0" applyNumberFormat="1" applyFill="1"/>
    <xf numFmtId="0" fontId="7" fillId="0" borderId="0" xfId="0" applyFont="1" applyFill="1" applyAlignment="1"/>
    <xf numFmtId="0" fontId="7" fillId="0" borderId="0" xfId="0" applyFont="1" applyFill="1" applyBorder="1" applyAlignment="1">
      <alignment horizontal="right" vertical="top"/>
    </xf>
    <xf numFmtId="0" fontId="4" fillId="0" borderId="3" xfId="7" applyFont="1" applyFill="1" applyBorder="1" applyAlignment="1">
      <alignment horizontal="center"/>
    </xf>
    <xf numFmtId="6" fontId="7" fillId="0" borderId="3" xfId="0" applyNumberFormat="1" applyFont="1" applyFill="1" applyBorder="1" applyAlignment="1">
      <alignment horizontal="center"/>
    </xf>
    <xf numFmtId="0" fontId="0" fillId="0" borderId="10" xfId="0" applyFill="1" applyBorder="1"/>
    <xf numFmtId="169" fontId="0" fillId="0" borderId="10" xfId="0" applyNumberFormat="1" applyFill="1" applyBorder="1"/>
    <xf numFmtId="0" fontId="0" fillId="0" borderId="11" xfId="0" applyFill="1" applyBorder="1"/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6" fontId="0" fillId="0" borderId="0" xfId="0" applyNumberFormat="1" applyFill="1" applyBorder="1" applyAlignment="1"/>
    <xf numFmtId="10" fontId="6" fillId="0" borderId="1" xfId="7" applyNumberFormat="1" applyFont="1" applyFill="1" applyBorder="1" applyAlignment="1">
      <alignment horizontal="right" wrapText="1"/>
    </xf>
    <xf numFmtId="38" fontId="0" fillId="0" borderId="4" xfId="0" applyNumberFormat="1" applyFill="1" applyBorder="1" applyAlignment="1">
      <alignment horizontal="right"/>
    </xf>
    <xf numFmtId="0" fontId="6" fillId="0" borderId="1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center" wrapText="1"/>
    </xf>
    <xf numFmtId="0" fontId="6" fillId="0" borderId="0" xfId="7" applyFont="1" applyFill="1" applyBorder="1" applyAlignment="1">
      <alignment horizontal="left" wrapText="1"/>
    </xf>
    <xf numFmtId="6" fontId="0" fillId="0" borderId="0" xfId="0" applyNumberFormat="1" applyFill="1" applyBorder="1" applyAlignment="1">
      <alignment horizontal="right"/>
    </xf>
    <xf numFmtId="0" fontId="14" fillId="0" borderId="0" xfId="0" applyFont="1" applyFill="1"/>
    <xf numFmtId="0" fontId="14" fillId="0" borderId="0" xfId="0" applyFont="1" applyFill="1" applyBorder="1"/>
    <xf numFmtId="10" fontId="6" fillId="0" borderId="0" xfId="7" applyNumberFormat="1" applyFont="1" applyFill="1" applyBorder="1" applyAlignment="1">
      <alignment horizontal="right" wrapText="1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0" fontId="0" fillId="0" borderId="0" xfId="0" applyNumberFormat="1" applyFill="1"/>
    <xf numFmtId="38" fontId="6" fillId="0" borderId="1" xfId="7" applyNumberFormat="1" applyFont="1" applyFill="1" applyBorder="1" applyAlignment="1">
      <alignment horizontal="right" wrapText="1"/>
    </xf>
    <xf numFmtId="0" fontId="6" fillId="0" borderId="14" xfId="5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right" wrapText="1"/>
    </xf>
    <xf numFmtId="10" fontId="0" fillId="0" borderId="0" xfId="0" applyNumberFormat="1" applyFill="1"/>
    <xf numFmtId="38" fontId="6" fillId="0" borderId="1" xfId="1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center" wrapText="1"/>
    </xf>
    <xf numFmtId="10" fontId="0" fillId="0" borderId="1" xfId="0" applyNumberFormat="1" applyFill="1" applyBorder="1"/>
    <xf numFmtId="10" fontId="0" fillId="0" borderId="4" xfId="0" applyNumberFormat="1" applyFill="1" applyBorder="1"/>
    <xf numFmtId="167" fontId="0" fillId="0" borderId="4" xfId="9" applyNumberFormat="1" applyFont="1" applyFill="1" applyBorder="1"/>
    <xf numFmtId="1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" fillId="0" borderId="1" xfId="7" applyFont="1" applyFill="1" applyBorder="1" applyAlignment="1">
      <alignment horizontal="center" wrapText="1"/>
    </xf>
    <xf numFmtId="3" fontId="4" fillId="0" borderId="1" xfId="7" applyNumberFormat="1" applyFont="1" applyFill="1" applyBorder="1" applyAlignment="1">
      <alignment horizontal="center" wrapText="1"/>
    </xf>
    <xf numFmtId="10" fontId="7" fillId="0" borderId="1" xfId="0" applyNumberFormat="1" applyFont="1" applyFill="1" applyBorder="1" applyAlignment="1">
      <alignment horizontal="center" wrapText="1"/>
    </xf>
    <xf numFmtId="1" fontId="4" fillId="0" borderId="1" xfId="7" applyNumberFormat="1" applyFont="1" applyFill="1" applyBorder="1" applyAlignment="1">
      <alignment horizontal="center" wrapText="1" shrinkToFit="1"/>
    </xf>
    <xf numFmtId="0" fontId="4" fillId="0" borderId="6" xfId="7" applyFont="1" applyFill="1" applyBorder="1" applyAlignment="1">
      <alignment horizontal="center" wrapText="1"/>
    </xf>
    <xf numFmtId="38" fontId="6" fillId="0" borderId="6" xfId="3" applyNumberFormat="1" applyFont="1" applyFill="1" applyBorder="1" applyAlignment="1">
      <alignment horizontal="center"/>
    </xf>
    <xf numFmtId="3" fontId="4" fillId="0" borderId="0" xfId="7" applyNumberFormat="1" applyFont="1" applyFill="1" applyBorder="1" applyAlignment="1">
      <alignment horizontal="center" wrapText="1"/>
    </xf>
    <xf numFmtId="3" fontId="4" fillId="0" borderId="0" xfId="7" applyNumberFormat="1" applyFont="1" applyFill="1" applyBorder="1" applyAlignment="1">
      <alignment horizontal="center"/>
    </xf>
    <xf numFmtId="38" fontId="6" fillId="0" borderId="4" xfId="3" applyNumberFormat="1" applyFont="1" applyFill="1" applyBorder="1" applyAlignment="1">
      <alignment horizontal="right" wrapText="1"/>
    </xf>
    <xf numFmtId="10" fontId="6" fillId="0" borderId="8" xfId="7" applyNumberFormat="1" applyFont="1" applyFill="1" applyBorder="1" applyAlignment="1">
      <alignment horizontal="right" wrapText="1"/>
    </xf>
    <xf numFmtId="3" fontId="6" fillId="0" borderId="1" xfId="7" applyNumberFormat="1" applyFont="1" applyFill="1" applyBorder="1" applyAlignment="1">
      <alignment horizontal="right" wrapText="1"/>
    </xf>
    <xf numFmtId="10" fontId="0" fillId="0" borderId="0" xfId="9" applyNumberFormat="1" applyFont="1" applyFill="1"/>
    <xf numFmtId="4" fontId="0" fillId="0" borderId="0" xfId="0" applyNumberFormat="1" applyFill="1"/>
    <xf numFmtId="170" fontId="0" fillId="0" borderId="0" xfId="0" applyNumberFormat="1" applyFill="1"/>
    <xf numFmtId="0" fontId="13" fillId="0" borderId="0" xfId="0" applyFont="1" applyFill="1" applyAlignment="1"/>
    <xf numFmtId="0" fontId="0" fillId="0" borderId="0" xfId="0" applyFill="1" applyAlignment="1"/>
    <xf numFmtId="0" fontId="3" fillId="0" borderId="0" xfId="0" applyFont="1" applyFill="1"/>
    <xf numFmtId="0" fontId="16" fillId="0" borderId="0" xfId="0" applyFont="1" applyFill="1"/>
    <xf numFmtId="0" fontId="16" fillId="0" borderId="0" xfId="0" applyFont="1" applyFill="1" applyBorder="1" applyAlignment="1"/>
    <xf numFmtId="38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38" fontId="4" fillId="0" borderId="0" xfId="7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68" fontId="0" fillId="0" borderId="0" xfId="0" applyNumberFormat="1" applyFill="1"/>
    <xf numFmtId="3" fontId="0" fillId="0" borderId="0" xfId="0" applyNumberFormat="1" applyFill="1" applyBorder="1"/>
    <xf numFmtId="49" fontId="8" fillId="0" borderId="0" xfId="0" applyNumberFormat="1" applyFont="1" applyFill="1" applyAlignment="1"/>
    <xf numFmtId="10" fontId="4" fillId="0" borderId="0" xfId="7" applyNumberFormat="1" applyFont="1" applyFill="1" applyBorder="1" applyAlignment="1">
      <alignment horizontal="right" wrapText="1"/>
    </xf>
    <xf numFmtId="49" fontId="0" fillId="0" borderId="0" xfId="0" applyNumberFormat="1" applyFill="1" applyAlignment="1"/>
    <xf numFmtId="168" fontId="6" fillId="0" borderId="0" xfId="1" applyNumberFormat="1" applyFont="1" applyFill="1" applyBorder="1" applyAlignment="1">
      <alignment horizontal="right" wrapText="1"/>
    </xf>
    <xf numFmtId="0" fontId="7" fillId="5" borderId="0" xfId="0" applyFont="1" applyFill="1" applyBorder="1"/>
    <xf numFmtId="168" fontId="6" fillId="0" borderId="4" xfId="1" applyNumberFormat="1" applyFont="1" applyFill="1" applyBorder="1" applyAlignment="1">
      <alignment horizontal="right" wrapText="1"/>
    </xf>
    <xf numFmtId="0" fontId="7" fillId="6" borderId="19" xfId="0" applyFont="1" applyFill="1" applyBorder="1" applyAlignment="1">
      <alignment horizontal="center" wrapText="1"/>
    </xf>
    <xf numFmtId="0" fontId="0" fillId="6" borderId="0" xfId="0" applyFill="1"/>
    <xf numFmtId="168" fontId="0" fillId="0" borderId="0" xfId="0" applyNumberFormat="1"/>
    <xf numFmtId="0" fontId="13" fillId="0" borderId="0" xfId="0" applyFont="1" applyFill="1" applyBorder="1"/>
    <xf numFmtId="0" fontId="7" fillId="0" borderId="3" xfId="0" applyFont="1" applyFill="1" applyBorder="1"/>
    <xf numFmtId="0" fontId="4" fillId="0" borderId="2" xfId="7" applyFont="1" applyFill="1" applyBorder="1" applyAlignment="1">
      <alignment horizontal="center" wrapText="1"/>
    </xf>
    <xf numFmtId="0" fontId="6" fillId="0" borderId="1" xfId="4" applyFont="1" applyFill="1" applyBorder="1" applyAlignment="1">
      <alignment horizontal="center"/>
    </xf>
    <xf numFmtId="38" fontId="6" fillId="0" borderId="1" xfId="4" applyNumberFormat="1" applyFont="1" applyFill="1" applyBorder="1" applyAlignment="1">
      <alignment horizontal="right" wrapText="1"/>
    </xf>
    <xf numFmtId="38" fontId="3" fillId="0" borderId="1" xfId="4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49" fontId="7" fillId="0" borderId="13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38" fontId="7" fillId="0" borderId="5" xfId="0" applyNumberFormat="1" applyFont="1" applyFill="1" applyBorder="1" applyAlignment="1">
      <alignment horizontal="center" wrapText="1"/>
    </xf>
    <xf numFmtId="0" fontId="6" fillId="0" borderId="15" xfId="5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38" fontId="6" fillId="0" borderId="1" xfId="5" applyNumberFormat="1" applyFont="1" applyFill="1" applyBorder="1" applyAlignment="1">
      <alignment horizontal="right" wrapText="1"/>
    </xf>
    <xf numFmtId="164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/>
    <xf numFmtId="43" fontId="0" fillId="0" borderId="0" xfId="0" applyNumberFormat="1"/>
    <xf numFmtId="3" fontId="7" fillId="0" borderId="2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10" xfId="7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38" fontId="15" fillId="0" borderId="1" xfId="7" applyNumberFormat="1" applyFont="1" applyFill="1" applyBorder="1" applyAlignment="1">
      <alignment horizontal="right"/>
    </xf>
    <xf numFmtId="38" fontId="6" fillId="0" borderId="4" xfId="7" applyNumberFormat="1" applyFont="1" applyFill="1" applyBorder="1" applyAlignment="1">
      <alignment horizontal="right"/>
    </xf>
    <xf numFmtId="3" fontId="6" fillId="0" borderId="0" xfId="7" applyNumberFormat="1" applyFont="1" applyFill="1" applyBorder="1" applyAlignment="1">
      <alignment horizontal="right"/>
    </xf>
    <xf numFmtId="9" fontId="0" fillId="0" borderId="0" xfId="9" applyFont="1" applyFill="1"/>
    <xf numFmtId="167" fontId="0" fillId="0" borderId="0" xfId="9" applyNumberFormat="1" applyFont="1" applyFill="1"/>
    <xf numFmtId="9" fontId="7" fillId="0" borderId="0" xfId="0" applyNumberFormat="1" applyFont="1" applyFill="1"/>
    <xf numFmtId="0" fontId="7" fillId="0" borderId="0" xfId="0" applyFont="1" applyAlignment="1">
      <alignment horizontal="center"/>
    </xf>
    <xf numFmtId="9" fontId="0" fillId="4" borderId="0" xfId="9" applyFont="1" applyFill="1"/>
    <xf numFmtId="3" fontId="6" fillId="0" borderId="0" xfId="7" applyNumberFormat="1" applyFont="1" applyFill="1" applyBorder="1" applyAlignment="1">
      <alignment horizontal="center" wrapText="1"/>
    </xf>
    <xf numFmtId="0" fontId="3" fillId="0" borderId="0" xfId="0" applyFont="1"/>
    <xf numFmtId="168" fontId="7" fillId="0" borderId="0" xfId="0" applyNumberFormat="1" applyFont="1"/>
    <xf numFmtId="167" fontId="7" fillId="0" borderId="0" xfId="9" applyNumberFormat="1" applyFont="1" applyFill="1" applyBorder="1"/>
    <xf numFmtId="3" fontId="3" fillId="7" borderId="19" xfId="1" applyNumberFormat="1" applyFont="1" applyFill="1" applyBorder="1"/>
    <xf numFmtId="38" fontId="7" fillId="0" borderId="2" xfId="0" applyNumberFormat="1" applyFont="1" applyFill="1" applyBorder="1" applyAlignment="1">
      <alignment horizontal="center" wrapText="1"/>
    </xf>
    <xf numFmtId="9" fontId="0" fillId="0" borderId="0" xfId="9" applyNumberFormat="1" applyFont="1" applyFill="1"/>
    <xf numFmtId="38" fontId="4" fillId="0" borderId="0" xfId="7" applyNumberFormat="1" applyFont="1" applyFill="1" applyBorder="1" applyAlignment="1">
      <alignment horizontal="right" wrapText="1"/>
    </xf>
    <xf numFmtId="168" fontId="0" fillId="0" borderId="0" xfId="1" applyNumberFormat="1" applyFont="1" applyBorder="1"/>
    <xf numFmtId="0" fontId="7" fillId="9" borderId="19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4" fillId="2" borderId="21" xfId="8" applyFont="1" applyFill="1" applyBorder="1" applyAlignment="1">
      <alignment horizontal="center" wrapText="1"/>
    </xf>
    <xf numFmtId="38" fontId="7" fillId="2" borderId="20" xfId="0" applyNumberFormat="1" applyFont="1" applyFill="1" applyBorder="1" applyAlignment="1">
      <alignment horizontal="center" wrapText="1"/>
    </xf>
    <xf numFmtId="49" fontId="6" fillId="0" borderId="21" xfId="7" applyNumberFormat="1" applyFont="1" applyFill="1" applyBorder="1" applyAlignment="1">
      <alignment horizontal="center" wrapText="1"/>
    </xf>
    <xf numFmtId="0" fontId="6" fillId="0" borderId="21" xfId="7" applyFont="1" applyFill="1" applyBorder="1" applyAlignment="1">
      <alignment horizontal="left" wrapText="1"/>
    </xf>
    <xf numFmtId="38" fontId="0" fillId="0" borderId="21" xfId="0" applyNumberFormat="1" applyBorder="1"/>
    <xf numFmtId="10" fontId="0" fillId="0" borderId="21" xfId="9" applyNumberFormat="1" applyFont="1" applyBorder="1"/>
    <xf numFmtId="38" fontId="0" fillId="0" borderId="21" xfId="0" applyNumberFormat="1" applyFill="1" applyBorder="1"/>
    <xf numFmtId="3" fontId="0" fillId="0" borderId="21" xfId="0" applyNumberFormat="1" applyFill="1" applyBorder="1"/>
    <xf numFmtId="3" fontId="0" fillId="0" borderId="21" xfId="0" applyNumberFormat="1" applyBorder="1"/>
    <xf numFmtId="0" fontId="6" fillId="0" borderId="21" xfId="7" applyFont="1" applyFill="1" applyBorder="1" applyAlignment="1">
      <alignment horizontal="left"/>
    </xf>
    <xf numFmtId="38" fontId="3" fillId="0" borderId="0" xfId="0" applyNumberFormat="1" applyFont="1"/>
    <xf numFmtId="10" fontId="3" fillId="0" borderId="0" xfId="9" applyNumberFormat="1" applyFont="1"/>
    <xf numFmtId="0" fontId="13" fillId="0" borderId="0" xfId="10" applyFont="1" applyFill="1"/>
    <xf numFmtId="0" fontId="3" fillId="0" borderId="0" xfId="10" applyFill="1"/>
    <xf numFmtId="3" fontId="3" fillId="0" borderId="0" xfId="10" applyNumberFormat="1" applyFill="1"/>
    <xf numFmtId="38" fontId="3" fillId="0" borderId="0" xfId="10" applyNumberFormat="1" applyFill="1"/>
    <xf numFmtId="10" fontId="3" fillId="0" borderId="0" xfId="10" applyNumberForma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7" fillId="0" borderId="0" xfId="10" applyFont="1" applyFill="1" applyAlignment="1">
      <alignment horizontal="center"/>
    </xf>
    <xf numFmtId="3" fontId="7" fillId="0" borderId="0" xfId="10" applyNumberFormat="1" applyFont="1" applyFill="1" applyAlignment="1">
      <alignment horizontal="center"/>
    </xf>
    <xf numFmtId="38" fontId="7" fillId="0" borderId="0" xfId="10" applyNumberFormat="1" applyFont="1" applyFill="1" applyAlignment="1">
      <alignment horizontal="center"/>
    </xf>
    <xf numFmtId="10" fontId="7" fillId="0" borderId="0" xfId="10" applyNumberFormat="1" applyFont="1" applyFill="1" applyAlignment="1">
      <alignment horizontal="center"/>
    </xf>
    <xf numFmtId="0" fontId="3" fillId="0" borderId="0" xfId="10" applyFill="1" applyAlignment="1">
      <alignment horizontal="center"/>
    </xf>
    <xf numFmtId="0" fontId="4" fillId="0" borderId="22" xfId="7" applyFont="1" applyFill="1" applyBorder="1" applyAlignment="1">
      <alignment horizontal="center" wrapText="1"/>
    </xf>
    <xf numFmtId="3" fontId="17" fillId="0" borderId="22" xfId="7" applyNumberFormat="1" applyFont="1" applyFill="1" applyBorder="1" applyAlignment="1">
      <alignment horizontal="center" wrapText="1"/>
    </xf>
    <xf numFmtId="38" fontId="18" fillId="0" borderId="22" xfId="10" applyNumberFormat="1" applyFont="1" applyFill="1" applyBorder="1" applyAlignment="1">
      <alignment horizontal="center" wrapText="1"/>
    </xf>
    <xf numFmtId="38" fontId="17" fillId="0" borderId="22" xfId="7" applyNumberFormat="1" applyFont="1" applyFill="1" applyBorder="1" applyAlignment="1">
      <alignment horizontal="center" wrapText="1"/>
    </xf>
    <xf numFmtId="10" fontId="7" fillId="0" borderId="0" xfId="10" applyNumberFormat="1" applyFont="1" applyFill="1" applyBorder="1" applyAlignment="1">
      <alignment horizontal="center" wrapText="1"/>
    </xf>
    <xf numFmtId="10" fontId="7" fillId="0" borderId="22" xfId="10" applyNumberFormat="1" applyFont="1" applyFill="1" applyBorder="1" applyAlignment="1">
      <alignment horizontal="center" wrapText="1"/>
    </xf>
    <xf numFmtId="0" fontId="3" fillId="0" borderId="0" xfId="10" applyFill="1" applyAlignment="1">
      <alignment wrapText="1"/>
    </xf>
    <xf numFmtId="38" fontId="4" fillId="0" borderId="22" xfId="7" applyNumberFormat="1" applyFont="1" applyFill="1" applyBorder="1" applyAlignment="1">
      <alignment horizontal="center" wrapText="1"/>
    </xf>
    <xf numFmtId="38" fontId="3" fillId="0" borderId="0" xfId="10" applyNumberFormat="1" applyFill="1" applyBorder="1" applyAlignment="1">
      <alignment horizontal="center" wrapText="1"/>
    </xf>
    <xf numFmtId="10" fontId="3" fillId="0" borderId="0" xfId="10" applyNumberFormat="1" applyFill="1" applyAlignment="1">
      <alignment wrapText="1"/>
    </xf>
    <xf numFmtId="0" fontId="6" fillId="0" borderId="23" xfId="7" applyFont="1" applyFill="1" applyBorder="1" applyAlignment="1">
      <alignment horizontal="center" wrapText="1"/>
    </xf>
    <xf numFmtId="0" fontId="6" fillId="0" borderId="22" xfId="7" applyFont="1" applyFill="1" applyBorder="1" applyAlignment="1">
      <alignment horizontal="left" wrapText="1"/>
    </xf>
    <xf numFmtId="168" fontId="6" fillId="0" borderId="23" xfId="6" applyNumberFormat="1" applyFont="1" applyFill="1" applyBorder="1" applyAlignment="1">
      <alignment horizontal="right" wrapText="1"/>
    </xf>
    <xf numFmtId="38" fontId="6" fillId="0" borderId="24" xfId="7" applyNumberFormat="1" applyFont="1" applyFill="1" applyBorder="1" applyAlignment="1">
      <alignment horizontal="right" wrapText="1"/>
    </xf>
    <xf numFmtId="38" fontId="6" fillId="0" borderId="25" xfId="7" applyNumberFormat="1" applyFont="1" applyFill="1" applyBorder="1" applyAlignment="1">
      <alignment horizontal="right" wrapText="1"/>
    </xf>
    <xf numFmtId="38" fontId="3" fillId="0" borderId="23" xfId="10" applyNumberFormat="1" applyFill="1" applyBorder="1" applyAlignment="1">
      <alignment horizontal="right"/>
    </xf>
    <xf numFmtId="10" fontId="3" fillId="0" borderId="0" xfId="10" applyNumberFormat="1" applyFill="1" applyBorder="1" applyAlignment="1">
      <alignment horizontal="right"/>
    </xf>
    <xf numFmtId="10" fontId="3" fillId="0" borderId="23" xfId="10" applyNumberFormat="1" applyFill="1" applyBorder="1"/>
    <xf numFmtId="168" fontId="6" fillId="0" borderId="23" xfId="1" applyNumberFormat="1" applyFont="1" applyFill="1" applyBorder="1" applyAlignment="1">
      <alignment horizontal="right" wrapText="1"/>
    </xf>
    <xf numFmtId="0" fontId="6" fillId="0" borderId="22" xfId="7" applyFont="1" applyFill="1" applyBorder="1" applyAlignment="1">
      <alignment horizontal="left"/>
    </xf>
    <xf numFmtId="49" fontId="6" fillId="0" borderId="22" xfId="7" applyNumberFormat="1" applyFont="1" applyFill="1" applyBorder="1" applyAlignment="1">
      <alignment horizontal="center" wrapText="1"/>
    </xf>
    <xf numFmtId="49" fontId="6" fillId="0" borderId="23" xfId="7" applyNumberFormat="1" applyFont="1" applyFill="1" applyBorder="1" applyAlignment="1">
      <alignment horizontal="center" wrapText="1"/>
    </xf>
    <xf numFmtId="3" fontId="3" fillId="0" borderId="0" xfId="10" applyNumberFormat="1" applyFill="1" applyAlignment="1">
      <alignment horizontal="right"/>
    </xf>
    <xf numFmtId="38" fontId="3" fillId="0" borderId="0" xfId="10" applyNumberFormat="1" applyFill="1" applyAlignment="1">
      <alignment horizontal="right"/>
    </xf>
    <xf numFmtId="0" fontId="3" fillId="0" borderId="0" xfId="10" applyFill="1" applyAlignment="1">
      <alignment horizontal="right"/>
    </xf>
    <xf numFmtId="10" fontId="3" fillId="0" borderId="0" xfId="10" applyNumberFormat="1" applyFill="1" applyAlignment="1">
      <alignment horizontal="right"/>
    </xf>
    <xf numFmtId="0" fontId="3" fillId="0" borderId="0" xfId="10" applyFont="1" applyFill="1" applyAlignment="1">
      <alignment horizontal="left"/>
    </xf>
    <xf numFmtId="0" fontId="3" fillId="0" borderId="0" xfId="10" applyFill="1" applyAlignment="1">
      <alignment horizontal="left"/>
    </xf>
    <xf numFmtId="49" fontId="8" fillId="0" borderId="0" xfId="10" applyNumberFormat="1" applyFont="1" applyFill="1" applyAlignment="1">
      <alignment horizontal="left"/>
    </xf>
    <xf numFmtId="0" fontId="7" fillId="0" borderId="0" xfId="0" applyFont="1" applyFill="1" applyBorder="1"/>
    <xf numFmtId="0" fontId="1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4" fillId="0" borderId="22" xfId="7" applyFont="1" applyFill="1" applyBorder="1" applyAlignment="1">
      <alignment horizontal="center"/>
    </xf>
    <xf numFmtId="0" fontId="4" fillId="10" borderId="22" xfId="7" applyFont="1" applyFill="1" applyBorder="1" applyAlignment="1">
      <alignment horizontal="center" wrapText="1"/>
    </xf>
    <xf numFmtId="38" fontId="4" fillId="10" borderId="22" xfId="7" applyNumberFormat="1" applyFont="1" applyFill="1" applyBorder="1" applyAlignment="1">
      <alignment horizontal="center" wrapText="1"/>
    </xf>
    <xf numFmtId="0" fontId="4" fillId="8" borderId="22" xfId="7" applyFont="1" applyFill="1" applyBorder="1" applyAlignment="1">
      <alignment horizontal="center" wrapText="1"/>
    </xf>
    <xf numFmtId="38" fontId="4" fillId="8" borderId="22" xfId="7" applyNumberFormat="1" applyFont="1" applyFill="1" applyBorder="1" applyAlignment="1">
      <alignment horizontal="center" wrapText="1"/>
    </xf>
    <xf numFmtId="10" fontId="7" fillId="0" borderId="22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wrapText="1"/>
    </xf>
    <xf numFmtId="0" fontId="4" fillId="0" borderId="25" xfId="7" applyFont="1" applyFill="1" applyBorder="1" applyAlignment="1">
      <alignment horizontal="center"/>
    </xf>
    <xf numFmtId="38" fontId="4" fillId="10" borderId="0" xfId="7" applyNumberFormat="1" applyFont="1" applyFill="1" applyBorder="1" applyAlignment="1">
      <alignment horizontal="center" wrapText="1"/>
    </xf>
    <xf numFmtId="38" fontId="4" fillId="10" borderId="25" xfId="7" applyNumberFormat="1" applyFont="1" applyFill="1" applyBorder="1" applyAlignment="1">
      <alignment horizontal="center" wrapText="1"/>
    </xf>
    <xf numFmtId="38" fontId="4" fillId="8" borderId="0" xfId="7" applyNumberFormat="1" applyFont="1" applyFill="1" applyBorder="1" applyAlignment="1">
      <alignment horizontal="center" wrapText="1"/>
    </xf>
    <xf numFmtId="38" fontId="4" fillId="8" borderId="25" xfId="7" applyNumberFormat="1" applyFont="1" applyFill="1" applyBorder="1" applyAlignment="1">
      <alignment horizontal="center" wrapText="1"/>
    </xf>
    <xf numFmtId="38" fontId="4" fillId="0" borderId="25" xfId="7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wrapText="1"/>
    </xf>
    <xf numFmtId="0" fontId="6" fillId="0" borderId="22" xfId="7" applyFont="1" applyFill="1" applyBorder="1" applyAlignment="1">
      <alignment horizontal="center" wrapText="1"/>
    </xf>
    <xf numFmtId="3" fontId="0" fillId="10" borderId="23" xfId="0" applyNumberFormat="1" applyFill="1" applyBorder="1"/>
    <xf numFmtId="38" fontId="6" fillId="10" borderId="22" xfId="7" applyNumberFormat="1" applyFont="1" applyFill="1" applyBorder="1" applyAlignment="1">
      <alignment horizontal="right" wrapText="1"/>
    </xf>
    <xf numFmtId="3" fontId="0" fillId="8" borderId="23" xfId="0" applyNumberFormat="1" applyFill="1" applyBorder="1"/>
    <xf numFmtId="38" fontId="6" fillId="8" borderId="22" xfId="7" applyNumberFormat="1" applyFont="1" applyFill="1" applyBorder="1" applyAlignment="1">
      <alignment horizontal="right" wrapText="1"/>
    </xf>
    <xf numFmtId="38" fontId="6" fillId="0" borderId="22" xfId="7" applyNumberFormat="1" applyFont="1" applyFill="1" applyBorder="1" applyAlignment="1">
      <alignment horizontal="right" wrapText="1"/>
    </xf>
    <xf numFmtId="10" fontId="0" fillId="0" borderId="23" xfId="0" applyNumberFormat="1" applyFill="1" applyBorder="1" applyAlignment="1">
      <alignment horizontal="right"/>
    </xf>
    <xf numFmtId="168" fontId="6" fillId="0" borderId="22" xfId="1" applyNumberFormat="1" applyFont="1" applyFill="1" applyBorder="1" applyAlignment="1">
      <alignment horizontal="right" wrapText="1"/>
    </xf>
    <xf numFmtId="3" fontId="0" fillId="0" borderId="23" xfId="0" applyNumberFormat="1" applyFill="1" applyBorder="1"/>
    <xf numFmtId="168" fontId="0" fillId="0" borderId="19" xfId="0" applyNumberFormat="1" applyFill="1" applyBorder="1"/>
    <xf numFmtId="9" fontId="7" fillId="0" borderId="0" xfId="9" applyFont="1" applyFill="1"/>
    <xf numFmtId="167" fontId="3" fillId="0" borderId="0" xfId="9" applyNumberFormat="1" applyFill="1"/>
    <xf numFmtId="167" fontId="3" fillId="0" borderId="0" xfId="10" applyNumberFormat="1" applyFill="1"/>
    <xf numFmtId="38" fontId="0" fillId="0" borderId="0" xfId="0" applyNumberFormat="1" applyBorder="1"/>
    <xf numFmtId="0" fontId="22" fillId="0" borderId="10" xfId="13" applyFont="1" applyFill="1" applyBorder="1" applyAlignment="1">
      <alignment horizontal="center"/>
    </xf>
    <xf numFmtId="0" fontId="22" fillId="0" borderId="23" xfId="13" applyFont="1" applyFill="1" applyBorder="1" applyAlignment="1">
      <alignment horizontal="center"/>
    </xf>
    <xf numFmtId="0" fontId="23" fillId="0" borderId="23" xfId="14" applyFont="1" applyFill="1" applyBorder="1" applyAlignment="1">
      <alignment horizontal="center" wrapText="1"/>
    </xf>
    <xf numFmtId="0" fontId="22" fillId="0" borderId="30" xfId="13" applyFont="1" applyFill="1" applyBorder="1" applyAlignment="1">
      <alignment horizontal="center"/>
    </xf>
    <xf numFmtId="0" fontId="24" fillId="0" borderId="11" xfId="15" applyFont="1" applyFill="1" applyBorder="1" applyAlignment="1">
      <alignment wrapText="1"/>
    </xf>
    <xf numFmtId="0" fontId="22" fillId="0" borderId="11" xfId="15" applyFont="1" applyFill="1" applyBorder="1" applyAlignment="1">
      <alignment wrapText="1"/>
    </xf>
    <xf numFmtId="0" fontId="22" fillId="0" borderId="30" xfId="15" applyFont="1" applyFill="1" applyBorder="1" applyAlignment="1">
      <alignment wrapText="1"/>
    </xf>
    <xf numFmtId="38" fontId="0" fillId="0" borderId="4" xfId="0" applyNumberFormat="1" applyFill="1" applyBorder="1"/>
    <xf numFmtId="167" fontId="0" fillId="0" borderId="0" xfId="9" applyNumberFormat="1" applyFont="1"/>
    <xf numFmtId="0" fontId="26" fillId="0" borderId="0" xfId="19" applyFont="1" applyAlignment="1">
      <alignment horizontal="left"/>
    </xf>
    <xf numFmtId="0" fontId="26" fillId="0" borderId="0" xfId="19" applyFont="1" applyFill="1" applyAlignment="1">
      <alignment horizontal="left"/>
    </xf>
    <xf numFmtId="0" fontId="25" fillId="0" borderId="0" xfId="19" applyAlignment="1">
      <alignment horizontal="centerContinuous"/>
    </xf>
    <xf numFmtId="0" fontId="25" fillId="0" borderId="0" xfId="19"/>
    <xf numFmtId="0" fontId="25" fillId="5" borderId="23" xfId="19" applyFill="1" applyBorder="1"/>
    <xf numFmtId="0" fontId="27" fillId="0" borderId="32" xfId="19" applyFont="1" applyFill="1" applyBorder="1" applyAlignment="1">
      <alignment horizontal="center"/>
    </xf>
    <xf numFmtId="0" fontId="25" fillId="0" borderId="32" xfId="19" applyBorder="1"/>
    <xf numFmtId="0" fontId="27" fillId="0" borderId="32" xfId="19" applyFont="1" applyBorder="1" applyAlignment="1">
      <alignment horizontal="center"/>
    </xf>
    <xf numFmtId="0" fontId="7" fillId="0" borderId="33" xfId="19" applyNumberFormat="1" applyFont="1" applyBorder="1" applyAlignment="1" applyProtection="1">
      <alignment horizontal="left"/>
      <protection locked="0"/>
    </xf>
    <xf numFmtId="3" fontId="7" fillId="10" borderId="33" xfId="19" quotePrefix="1" applyNumberFormat="1" applyFont="1" applyFill="1" applyBorder="1" applyAlignment="1" applyProtection="1">
      <alignment horizontal="center" vertical="center" wrapText="1"/>
      <protection locked="0"/>
    </xf>
    <xf numFmtId="3" fontId="7" fillId="11" borderId="33" xfId="19" quotePrefix="1" applyNumberFormat="1" applyFont="1" applyFill="1" applyBorder="1" applyAlignment="1" applyProtection="1">
      <alignment horizontal="center" vertical="center" wrapText="1"/>
      <protection locked="0"/>
    </xf>
    <xf numFmtId="3" fontId="7" fillId="0" borderId="33" xfId="19" applyNumberFormat="1" applyFont="1" applyFill="1" applyBorder="1" applyAlignment="1" applyProtection="1">
      <alignment horizontal="center" vertical="center" wrapText="1"/>
      <protection locked="0"/>
    </xf>
    <xf numFmtId="3" fontId="7" fillId="11" borderId="33" xfId="19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19" applyFont="1" applyBorder="1" applyAlignment="1" applyProtection="1">
      <alignment horizontal="center" vertical="center" wrapText="1"/>
      <protection locked="0"/>
    </xf>
    <xf numFmtId="0" fontId="7" fillId="10" borderId="33" xfId="19" applyFont="1" applyFill="1" applyBorder="1" applyAlignment="1" applyProtection="1">
      <alignment horizontal="center" vertical="center" wrapText="1"/>
      <protection locked="0"/>
    </xf>
    <xf numFmtId="0" fontId="7" fillId="11" borderId="33" xfId="19" applyFont="1" applyFill="1" applyBorder="1" applyAlignment="1" applyProtection="1">
      <alignment horizontal="center" vertical="center" wrapText="1"/>
      <protection locked="0"/>
    </xf>
    <xf numFmtId="3" fontId="7" fillId="0" borderId="34" xfId="19" applyNumberFormat="1" applyFont="1" applyBorder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right"/>
      <protection locked="0"/>
    </xf>
    <xf numFmtId="0" fontId="6" fillId="0" borderId="23" xfId="20" applyFont="1" applyFill="1" applyBorder="1" applyAlignment="1">
      <alignment wrapText="1"/>
    </xf>
    <xf numFmtId="3" fontId="3" fillId="10" borderId="35" xfId="19" quotePrefix="1" applyNumberFormat="1" applyFont="1" applyFill="1" applyBorder="1" applyProtection="1">
      <protection locked="0"/>
    </xf>
    <xf numFmtId="3" fontId="3" fillId="11" borderId="35" xfId="19" quotePrefix="1" applyNumberFormat="1" applyFont="1" applyFill="1" applyBorder="1" applyProtection="1">
      <protection locked="0"/>
    </xf>
    <xf numFmtId="3" fontId="3" fillId="0" borderId="35" xfId="19" quotePrefix="1" applyNumberFormat="1" applyFont="1" applyFill="1" applyBorder="1" applyProtection="1">
      <protection locked="0"/>
    </xf>
    <xf numFmtId="3" fontId="3" fillId="0" borderId="17" xfId="19" quotePrefix="1" applyNumberFormat="1" applyFont="1" applyFill="1" applyBorder="1" applyProtection="1">
      <protection locked="0"/>
    </xf>
    <xf numFmtId="3" fontId="3" fillId="11" borderId="17" xfId="19" quotePrefix="1" applyNumberFormat="1" applyFont="1" applyFill="1" applyBorder="1" applyProtection="1">
      <protection locked="0"/>
    </xf>
    <xf numFmtId="3" fontId="3" fillId="0" borderId="36" xfId="19" applyNumberFormat="1" applyFont="1" applyFill="1" applyBorder="1" applyProtection="1">
      <protection locked="0"/>
    </xf>
    <xf numFmtId="167" fontId="3" fillId="0" borderId="37" xfId="21" applyNumberFormat="1" applyFont="1" applyBorder="1" applyProtection="1">
      <protection locked="0"/>
    </xf>
    <xf numFmtId="1" fontId="3" fillId="10" borderId="30" xfId="19" applyNumberFormat="1" applyFont="1" applyFill="1" applyBorder="1" applyProtection="1">
      <protection locked="0"/>
    </xf>
    <xf numFmtId="1" fontId="3" fillId="11" borderId="30" xfId="19" applyNumberFormat="1" applyFont="1" applyFill="1" applyBorder="1" applyProtection="1">
      <protection locked="0"/>
    </xf>
    <xf numFmtId="3" fontId="3" fillId="10" borderId="30" xfId="19" applyNumberFormat="1" applyFont="1" applyFill="1" applyBorder="1" applyProtection="1">
      <protection locked="0"/>
    </xf>
    <xf numFmtId="167" fontId="3" fillId="0" borderId="23" xfId="21" applyNumberFormat="1" applyFont="1" applyBorder="1" applyProtection="1">
      <protection locked="0"/>
    </xf>
    <xf numFmtId="0" fontId="3" fillId="0" borderId="0" xfId="19" applyFont="1" applyProtection="1">
      <protection locked="0"/>
    </xf>
    <xf numFmtId="0" fontId="3" fillId="0" borderId="38" xfId="19" quotePrefix="1" applyNumberFormat="1" applyFont="1" applyBorder="1" applyProtection="1">
      <protection locked="0"/>
    </xf>
    <xf numFmtId="3" fontId="3" fillId="0" borderId="28" xfId="19" quotePrefix="1" applyNumberFormat="1" applyFont="1" applyFill="1" applyBorder="1" applyProtection="1">
      <protection locked="0"/>
    </xf>
    <xf numFmtId="3" fontId="3" fillId="11" borderId="28" xfId="19" quotePrefix="1" applyNumberFormat="1" applyFont="1" applyFill="1" applyBorder="1" applyProtection="1">
      <protection locked="0"/>
    </xf>
    <xf numFmtId="3" fontId="3" fillId="0" borderId="23" xfId="19" applyNumberFormat="1" applyFont="1" applyFill="1" applyBorder="1" applyProtection="1">
      <protection locked="0"/>
    </xf>
    <xf numFmtId="1" fontId="3" fillId="10" borderId="23" xfId="19" applyNumberFormat="1" applyFont="1" applyFill="1" applyBorder="1" applyProtection="1">
      <protection locked="0"/>
    </xf>
    <xf numFmtId="168" fontId="3" fillId="11" borderId="23" xfId="22" applyNumberFormat="1" applyFont="1" applyFill="1" applyBorder="1" applyProtection="1">
      <protection locked="0"/>
    </xf>
    <xf numFmtId="3" fontId="3" fillId="10" borderId="23" xfId="19" applyNumberFormat="1" applyFont="1" applyFill="1" applyBorder="1" applyProtection="1">
      <protection locked="0"/>
    </xf>
    <xf numFmtId="0" fontId="3" fillId="0" borderId="38" xfId="19" quotePrefix="1" applyNumberFormat="1" applyFont="1" applyBorder="1" applyAlignment="1" applyProtection="1">
      <alignment horizontal="left"/>
      <protection locked="0"/>
    </xf>
    <xf numFmtId="0" fontId="7" fillId="0" borderId="39" xfId="19" applyNumberFormat="1" applyFont="1" applyBorder="1" applyProtection="1">
      <protection locked="0"/>
    </xf>
    <xf numFmtId="3" fontId="7" fillId="10" borderId="23" xfId="19" quotePrefix="1" applyNumberFormat="1" applyFont="1" applyFill="1" applyBorder="1" applyProtection="1">
      <protection locked="0"/>
    </xf>
    <xf numFmtId="3" fontId="7" fillId="11" borderId="23" xfId="19" quotePrefix="1" applyNumberFormat="1" applyFont="1" applyFill="1" applyBorder="1" applyProtection="1">
      <protection locked="0"/>
    </xf>
    <xf numFmtId="3" fontId="7" fillId="0" borderId="23" xfId="19" quotePrefix="1" applyNumberFormat="1" applyFont="1" applyFill="1" applyBorder="1" applyProtection="1">
      <protection locked="0"/>
    </xf>
    <xf numFmtId="3" fontId="7" fillId="0" borderId="23" xfId="19" applyNumberFormat="1" applyFont="1" applyFill="1" applyBorder="1" applyProtection="1">
      <protection locked="0"/>
    </xf>
    <xf numFmtId="167" fontId="7" fillId="0" borderId="23" xfId="21" quotePrefix="1" applyNumberFormat="1" applyFont="1" applyBorder="1" applyProtection="1">
      <protection locked="0"/>
    </xf>
    <xf numFmtId="1" fontId="7" fillId="10" borderId="23" xfId="19" applyNumberFormat="1" applyFont="1" applyFill="1" applyBorder="1" applyProtection="1">
      <protection locked="0"/>
    </xf>
    <xf numFmtId="168" fontId="7" fillId="11" borderId="23" xfId="22" applyNumberFormat="1" applyFont="1" applyFill="1" applyBorder="1" applyProtection="1">
      <protection locked="0"/>
    </xf>
    <xf numFmtId="3" fontId="7" fillId="10" borderId="23" xfId="19" applyNumberFormat="1" applyFont="1" applyFill="1" applyBorder="1" applyProtection="1">
      <protection locked="0"/>
    </xf>
    <xf numFmtId="0" fontId="3" fillId="0" borderId="38" xfId="19" applyNumberFormat="1" applyFont="1" applyBorder="1" applyAlignment="1" applyProtection="1">
      <alignment horizontal="left" indent="2"/>
      <protection locked="0"/>
    </xf>
    <xf numFmtId="0" fontId="3" fillId="0" borderId="40" xfId="19" quotePrefix="1" applyNumberFormat="1" applyFont="1" applyBorder="1" applyProtection="1">
      <protection locked="0"/>
    </xf>
    <xf numFmtId="167" fontId="3" fillId="0" borderId="32" xfId="21" applyNumberFormat="1" applyFont="1" applyBorder="1" applyProtection="1">
      <protection locked="0"/>
    </xf>
    <xf numFmtId="1" fontId="3" fillId="11" borderId="23" xfId="19" applyNumberFormat="1" applyFont="1" applyFill="1" applyBorder="1" applyProtection="1">
      <protection locked="0"/>
    </xf>
    <xf numFmtId="0" fontId="7" fillId="0" borderId="41" xfId="19" applyNumberFormat="1" applyFont="1" applyBorder="1" applyProtection="1">
      <protection locked="0"/>
    </xf>
    <xf numFmtId="3" fontId="7" fillId="10" borderId="42" xfId="19" applyNumberFormat="1" applyFont="1" applyFill="1" applyBorder="1" applyProtection="1">
      <protection locked="0"/>
    </xf>
    <xf numFmtId="3" fontId="7" fillId="11" borderId="42" xfId="19" applyNumberFormat="1" applyFont="1" applyFill="1" applyBorder="1" applyProtection="1">
      <protection locked="0"/>
    </xf>
    <xf numFmtId="3" fontId="7" fillId="0" borderId="42" xfId="19" applyNumberFormat="1" applyFont="1" applyFill="1" applyBorder="1" applyProtection="1">
      <protection locked="0"/>
    </xf>
    <xf numFmtId="167" fontId="7" fillId="0" borderId="43" xfId="21" applyNumberFormat="1" applyFont="1" applyBorder="1" applyProtection="1">
      <protection locked="0"/>
    </xf>
    <xf numFmtId="0" fontId="7" fillId="0" borderId="0" xfId="19" applyFont="1" applyProtection="1">
      <protection locked="0"/>
    </xf>
    <xf numFmtId="0" fontId="7" fillId="0" borderId="0" xfId="19" applyNumberFormat="1" applyFont="1" applyBorder="1" applyProtection="1">
      <protection locked="0"/>
    </xf>
    <xf numFmtId="3" fontId="3" fillId="0" borderId="0" xfId="19" applyNumberFormat="1" applyFont="1" applyBorder="1" applyProtection="1">
      <protection locked="0"/>
    </xf>
    <xf numFmtId="3" fontId="3" fillId="0" borderId="0" xfId="19" applyNumberFormat="1" applyFont="1" applyFill="1" applyBorder="1" applyProtection="1">
      <protection locked="0"/>
    </xf>
    <xf numFmtId="0" fontId="3" fillId="0" borderId="0" xfId="19" applyFont="1" applyFill="1" applyProtection="1">
      <protection locked="0"/>
    </xf>
    <xf numFmtId="167" fontId="3" fillId="0" borderId="0" xfId="21" applyNumberFormat="1" applyFont="1" applyProtection="1">
      <protection locked="0"/>
    </xf>
    <xf numFmtId="0" fontId="7" fillId="0" borderId="33" xfId="19" applyNumberFormat="1" applyFont="1" applyBorder="1" applyProtection="1">
      <protection locked="0"/>
    </xf>
    <xf numFmtId="3" fontId="3" fillId="0" borderId="44" xfId="19" quotePrefix="1" applyNumberFormat="1" applyFont="1" applyBorder="1" applyProtection="1">
      <protection locked="0"/>
    </xf>
    <xf numFmtId="3" fontId="3" fillId="0" borderId="44" xfId="19" quotePrefix="1" applyNumberFormat="1" applyFont="1" applyFill="1" applyBorder="1" applyProtection="1">
      <protection locked="0"/>
    </xf>
    <xf numFmtId="3" fontId="3" fillId="0" borderId="0" xfId="19" quotePrefix="1" applyNumberFormat="1" applyFont="1" applyFill="1" applyBorder="1" applyProtection="1">
      <protection locked="0"/>
    </xf>
    <xf numFmtId="0" fontId="3" fillId="0" borderId="0" xfId="19" applyFont="1" applyFill="1" applyBorder="1" applyProtection="1">
      <protection locked="0"/>
    </xf>
    <xf numFmtId="0" fontId="3" fillId="0" borderId="0" xfId="19" applyFont="1" applyBorder="1" applyProtection="1">
      <protection locked="0"/>
    </xf>
    <xf numFmtId="0" fontId="3" fillId="0" borderId="35" xfId="19" quotePrefix="1" applyNumberFormat="1" applyFont="1" applyBorder="1" applyProtection="1">
      <protection locked="0"/>
    </xf>
    <xf numFmtId="3" fontId="3" fillId="0" borderId="37" xfId="19" quotePrefix="1" applyNumberFormat="1" applyFont="1" applyFill="1" applyBorder="1" applyProtection="1">
      <protection locked="0"/>
    </xf>
    <xf numFmtId="3" fontId="3" fillId="11" borderId="37" xfId="19" quotePrefix="1" applyNumberFormat="1" applyFont="1" applyFill="1" applyBorder="1" applyProtection="1">
      <protection locked="0"/>
    </xf>
    <xf numFmtId="3" fontId="3" fillId="0" borderId="37" xfId="19" applyNumberFormat="1" applyFont="1" applyFill="1" applyBorder="1" applyProtection="1">
      <protection locked="0"/>
    </xf>
    <xf numFmtId="167" fontId="3" fillId="0" borderId="10" xfId="21" applyNumberFormat="1" applyFont="1" applyBorder="1" applyProtection="1">
      <protection locked="0"/>
    </xf>
    <xf numFmtId="3" fontId="7" fillId="12" borderId="42" xfId="19" applyNumberFormat="1" applyFont="1" applyFill="1" applyBorder="1" applyProtection="1">
      <protection locked="0"/>
    </xf>
    <xf numFmtId="0" fontId="7" fillId="0" borderId="45" xfId="19" applyNumberFormat="1" applyFont="1" applyBorder="1" applyProtection="1">
      <protection locked="0"/>
    </xf>
    <xf numFmtId="3" fontId="7" fillId="10" borderId="45" xfId="19" applyNumberFormat="1" applyFont="1" applyFill="1" applyBorder="1" applyProtection="1">
      <protection locked="0"/>
    </xf>
    <xf numFmtId="3" fontId="7" fillId="11" borderId="45" xfId="19" applyNumberFormat="1" applyFont="1" applyFill="1" applyBorder="1" applyProtection="1">
      <protection locked="0"/>
    </xf>
    <xf numFmtId="3" fontId="7" fillId="0" borderId="45" xfId="19" applyNumberFormat="1" applyFont="1" applyFill="1" applyBorder="1" applyProtection="1">
      <protection locked="0"/>
    </xf>
    <xf numFmtId="167" fontId="7" fillId="0" borderId="45" xfId="21" applyNumberFormat="1" applyFont="1" applyBorder="1" applyProtection="1">
      <protection locked="0"/>
    </xf>
    <xf numFmtId="0" fontId="7" fillId="0" borderId="46" xfId="19" applyFont="1" applyBorder="1"/>
    <xf numFmtId="0" fontId="25" fillId="0" borderId="47" xfId="19" applyBorder="1"/>
    <xf numFmtId="0" fontId="25" fillId="0" borderId="48" xfId="19" applyBorder="1"/>
    <xf numFmtId="0" fontId="25" fillId="0" borderId="49" xfId="19" applyFill="1" applyBorder="1"/>
    <xf numFmtId="0" fontId="25" fillId="0" borderId="49" xfId="19" applyBorder="1"/>
    <xf numFmtId="1" fontId="3" fillId="0" borderId="30" xfId="19" applyNumberFormat="1" applyFont="1" applyBorder="1" applyProtection="1">
      <protection locked="0"/>
    </xf>
    <xf numFmtId="1" fontId="3" fillId="0" borderId="0" xfId="19" applyNumberFormat="1" applyFont="1" applyBorder="1" applyProtection="1">
      <protection locked="0"/>
    </xf>
    <xf numFmtId="0" fontId="25" fillId="0" borderId="0" xfId="19" applyFill="1"/>
    <xf numFmtId="3" fontId="25" fillId="0" borderId="0" xfId="19" applyNumberFormat="1"/>
    <xf numFmtId="0" fontId="7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8" fontId="3" fillId="0" borderId="0" xfId="1" applyNumberFormat="1" applyFont="1" applyAlignment="1">
      <alignment horizontal="left"/>
    </xf>
    <xf numFmtId="10" fontId="0" fillId="0" borderId="0" xfId="0" applyNumberFormat="1" applyAlignment="1">
      <alignment horizontal="left"/>
    </xf>
    <xf numFmtId="10" fontId="3" fillId="0" borderId="0" xfId="0" applyNumberFormat="1" applyFont="1" applyAlignment="1">
      <alignment horizontal="left"/>
    </xf>
    <xf numFmtId="38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7" fontId="0" fillId="0" borderId="0" xfId="9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0" fillId="4" borderId="0" xfId="1" applyFont="1" applyFill="1"/>
    <xf numFmtId="10" fontId="0" fillId="0" borderId="0" xfId="0" applyNumberFormat="1" applyFill="1" applyBorder="1"/>
    <xf numFmtId="3" fontId="3" fillId="6" borderId="19" xfId="1" applyNumberFormat="1" applyFont="1" applyFill="1" applyBorder="1"/>
    <xf numFmtId="168" fontId="0" fillId="9" borderId="0" xfId="1" applyNumberFormat="1" applyFont="1" applyFill="1"/>
    <xf numFmtId="167" fontId="8" fillId="0" borderId="0" xfId="9" applyNumberFormat="1" applyFont="1" applyFill="1" applyBorder="1" applyAlignment="1">
      <alignment horizontal="center"/>
    </xf>
    <xf numFmtId="10" fontId="3" fillId="0" borderId="23" xfId="10" applyNumberFormat="1" applyFill="1" applyBorder="1" applyAlignment="1">
      <alignment horizontal="right"/>
    </xf>
    <xf numFmtId="0" fontId="7" fillId="12" borderId="19" xfId="0" applyFont="1" applyFill="1" applyBorder="1" applyAlignment="1">
      <alignment horizontal="center" wrapText="1"/>
    </xf>
    <xf numFmtId="0" fontId="0" fillId="12" borderId="0" xfId="0" applyFill="1"/>
    <xf numFmtId="168" fontId="3" fillId="13" borderId="19" xfId="1" applyNumberFormat="1" applyFont="1" applyFill="1" applyBorder="1"/>
    <xf numFmtId="168" fontId="3" fillId="12" borderId="19" xfId="1" applyNumberFormat="1" applyFont="1" applyFill="1" applyBorder="1"/>
    <xf numFmtId="0" fontId="7" fillId="14" borderId="19" xfId="0" applyFont="1" applyFill="1" applyBorder="1" applyAlignment="1">
      <alignment horizontal="center" wrapText="1"/>
    </xf>
    <xf numFmtId="0" fontId="0" fillId="14" borderId="0" xfId="0" applyFill="1"/>
    <xf numFmtId="168" fontId="3" fillId="15" borderId="19" xfId="1" applyNumberFormat="1" applyFont="1" applyFill="1" applyBorder="1"/>
    <xf numFmtId="168" fontId="3" fillId="14" borderId="19" xfId="1" applyNumberFormat="1" applyFont="1" applyFill="1" applyBorder="1"/>
    <xf numFmtId="0" fontId="21" fillId="0" borderId="0" xfId="23" applyFont="1"/>
    <xf numFmtId="167" fontId="21" fillId="0" borderId="0" xfId="23" applyNumberFormat="1" applyFont="1"/>
    <xf numFmtId="0" fontId="20" fillId="0" borderId="23" xfId="23" applyFont="1" applyBorder="1" applyAlignment="1">
      <alignment wrapText="1"/>
    </xf>
    <xf numFmtId="167" fontId="20" fillId="0" borderId="27" xfId="23" applyNumberFormat="1" applyFont="1" applyBorder="1" applyAlignment="1">
      <alignment horizontal="center" vertical="center" wrapText="1"/>
    </xf>
    <xf numFmtId="0" fontId="21" fillId="0" borderId="0" xfId="23" applyFont="1" applyAlignment="1">
      <alignment wrapText="1"/>
    </xf>
    <xf numFmtId="0" fontId="21" fillId="0" borderId="11" xfId="23" applyFont="1" applyBorder="1"/>
    <xf numFmtId="0" fontId="21" fillId="0" borderId="10" xfId="23" applyFont="1" applyBorder="1"/>
    <xf numFmtId="171" fontId="21" fillId="0" borderId="10" xfId="23" applyNumberFormat="1" applyFont="1" applyBorder="1"/>
    <xf numFmtId="171" fontId="21" fillId="0" borderId="11" xfId="25" applyNumberFormat="1" applyFont="1" applyBorder="1"/>
    <xf numFmtId="171" fontId="21" fillId="0" borderId="11" xfId="23" applyNumberFormat="1" applyFont="1" applyBorder="1"/>
    <xf numFmtId="0" fontId="20" fillId="0" borderId="11" xfId="23" applyFont="1" applyBorder="1"/>
    <xf numFmtId="171" fontId="20" fillId="0" borderId="11" xfId="25" applyNumberFormat="1" applyFont="1" applyBorder="1"/>
    <xf numFmtId="171" fontId="20" fillId="0" borderId="11" xfId="23" applyNumberFormat="1" applyFont="1" applyBorder="1"/>
    <xf numFmtId="171" fontId="20" fillId="0" borderId="30" xfId="25" applyNumberFormat="1" applyFont="1" applyBorder="1"/>
    <xf numFmtId="0" fontId="20" fillId="0" borderId="30" xfId="23" applyFont="1" applyBorder="1"/>
    <xf numFmtId="167" fontId="20" fillId="0" borderId="30" xfId="23" applyNumberFormat="1" applyFont="1" applyBorder="1"/>
    <xf numFmtId="3" fontId="21" fillId="0" borderId="0" xfId="23" applyNumberFormat="1" applyFont="1"/>
    <xf numFmtId="3" fontId="20" fillId="0" borderId="23" xfId="23" applyNumberFormat="1" applyFont="1" applyBorder="1" applyAlignment="1">
      <alignment horizontal="center" vertical="center" wrapText="1"/>
    </xf>
    <xf numFmtId="167" fontId="20" fillId="0" borderId="23" xfId="23" applyNumberFormat="1" applyFont="1" applyBorder="1" applyAlignment="1">
      <alignment horizontal="center" vertical="center" wrapText="1"/>
    </xf>
    <xf numFmtId="4" fontId="20" fillId="0" borderId="23" xfId="23" applyNumberFormat="1" applyFont="1" applyBorder="1" applyAlignment="1">
      <alignment horizontal="center" vertical="center" wrapText="1"/>
    </xf>
    <xf numFmtId="167" fontId="20" fillId="0" borderId="24" xfId="23" applyNumberFormat="1" applyFont="1" applyBorder="1" applyAlignment="1">
      <alignment horizontal="center" vertical="center" wrapText="1"/>
    </xf>
    <xf numFmtId="3" fontId="21" fillId="0" borderId="11" xfId="23" applyNumberFormat="1" applyFont="1" applyBorder="1"/>
    <xf numFmtId="167" fontId="21" fillId="0" borderId="11" xfId="23" applyNumberFormat="1" applyFont="1" applyBorder="1"/>
    <xf numFmtId="171" fontId="21" fillId="0" borderId="17" xfId="25" applyNumberFormat="1" applyFont="1" applyBorder="1"/>
    <xf numFmtId="3" fontId="20" fillId="0" borderId="11" xfId="23" applyNumberFormat="1" applyFont="1" applyBorder="1"/>
    <xf numFmtId="167" fontId="20" fillId="0" borderId="11" xfId="23" applyNumberFormat="1" applyFont="1" applyBorder="1"/>
    <xf numFmtId="171" fontId="20" fillId="0" borderId="17" xfId="25" applyNumberFormat="1" applyFont="1" applyBorder="1"/>
    <xf numFmtId="3" fontId="20" fillId="0" borderId="30" xfId="23" applyNumberFormat="1" applyFont="1" applyBorder="1"/>
    <xf numFmtId="171" fontId="20" fillId="0" borderId="50" xfId="25" applyNumberFormat="1" applyFont="1" applyBorder="1"/>
    <xf numFmtId="0" fontId="20" fillId="0" borderId="13" xfId="23" applyFont="1" applyBorder="1"/>
    <xf numFmtId="3" fontId="20" fillId="0" borderId="26" xfId="23" applyNumberFormat="1" applyFont="1" applyBorder="1"/>
    <xf numFmtId="167" fontId="20" fillId="0" borderId="26" xfId="23" applyNumberFormat="1" applyFont="1" applyBorder="1"/>
    <xf numFmtId="171" fontId="20" fillId="0" borderId="23" xfId="25" applyNumberFormat="1" applyFont="1" applyBorder="1"/>
    <xf numFmtId="0" fontId="20" fillId="0" borderId="29" xfId="23" applyFont="1" applyBorder="1" applyAlignment="1">
      <alignment horizontal="center"/>
    </xf>
    <xf numFmtId="0" fontId="20" fillId="0" borderId="10" xfId="23" applyFont="1" applyBorder="1" applyAlignment="1">
      <alignment horizontal="center"/>
    </xf>
    <xf numFmtId="0" fontId="20" fillId="0" borderId="31" xfId="23" applyFont="1" applyBorder="1" applyAlignment="1">
      <alignment horizontal="center"/>
    </xf>
    <xf numFmtId="0" fontId="24" fillId="0" borderId="10" xfId="15" applyFont="1" applyFill="1" applyBorder="1" applyAlignment="1">
      <alignment wrapText="1"/>
    </xf>
    <xf numFmtId="167" fontId="24" fillId="0" borderId="10" xfId="26" applyNumberFormat="1" applyFont="1" applyFill="1" applyBorder="1" applyAlignment="1">
      <alignment horizontal="right" wrapText="1"/>
    </xf>
    <xf numFmtId="168" fontId="21" fillId="0" borderId="0" xfId="24" applyNumberFormat="1" applyFont="1"/>
    <xf numFmtId="167" fontId="24" fillId="0" borderId="11" xfId="26" applyNumberFormat="1" applyFont="1" applyFill="1" applyBorder="1" applyAlignment="1">
      <alignment horizontal="right" wrapText="1"/>
    </xf>
    <xf numFmtId="0" fontId="22" fillId="0" borderId="11" xfId="18" applyFont="1" applyFill="1" applyBorder="1" applyAlignment="1">
      <alignment wrapText="1"/>
    </xf>
    <xf numFmtId="167" fontId="22" fillId="0" borderId="11" xfId="26" applyNumberFormat="1" applyFont="1" applyFill="1" applyBorder="1" applyAlignment="1">
      <alignment horizontal="right" wrapText="1"/>
    </xf>
    <xf numFmtId="168" fontId="20" fillId="0" borderId="0" xfId="24" applyNumberFormat="1" applyFont="1"/>
    <xf numFmtId="168" fontId="20" fillId="0" borderId="11" xfId="24" applyNumberFormat="1" applyFont="1" applyBorder="1"/>
    <xf numFmtId="167" fontId="22" fillId="0" borderId="30" xfId="26" applyNumberFormat="1" applyFont="1" applyFill="1" applyBorder="1" applyAlignment="1">
      <alignment horizontal="right" wrapText="1"/>
    </xf>
    <xf numFmtId="168" fontId="21" fillId="0" borderId="30" xfId="24" applyNumberFormat="1" applyFont="1" applyBorder="1"/>
    <xf numFmtId="0" fontId="20" fillId="0" borderId="26" xfId="23" applyFont="1" applyBorder="1"/>
    <xf numFmtId="0" fontId="24" fillId="0" borderId="11" xfId="15" applyFont="1" applyFill="1" applyBorder="1" applyAlignment="1"/>
    <xf numFmtId="168" fontId="3" fillId="5" borderId="0" xfId="0" applyNumberFormat="1" applyFont="1" applyFill="1"/>
    <xf numFmtId="2" fontId="3" fillId="0" borderId="0" xfId="10" applyNumberFormat="1" applyFill="1"/>
    <xf numFmtId="38" fontId="6" fillId="0" borderId="9" xfId="7" applyNumberFormat="1" applyFont="1" applyFill="1" applyBorder="1" applyAlignment="1">
      <alignment horizontal="right" wrapText="1"/>
    </xf>
    <xf numFmtId="168" fontId="6" fillId="0" borderId="8" xfId="1" applyNumberFormat="1" applyFont="1" applyFill="1" applyBorder="1" applyAlignment="1">
      <alignment horizontal="right" wrapText="1"/>
    </xf>
    <xf numFmtId="168" fontId="6" fillId="0" borderId="7" xfId="5" applyNumberFormat="1" applyFont="1" applyFill="1" applyBorder="1" applyAlignment="1">
      <alignment horizontal="right" wrapText="1"/>
    </xf>
    <xf numFmtId="168" fontId="6" fillId="0" borderId="9" xfId="7" applyNumberFormat="1" applyFont="1" applyFill="1" applyBorder="1" applyAlignment="1">
      <alignment horizontal="right" wrapText="1"/>
    </xf>
    <xf numFmtId="10" fontId="0" fillId="0" borderId="0" xfId="9" applyNumberFormat="1" applyFont="1"/>
    <xf numFmtId="0" fontId="28" fillId="0" borderId="0" xfId="0" applyFont="1" applyBorder="1" applyAlignment="1">
      <alignment horizontal="center"/>
    </xf>
    <xf numFmtId="0" fontId="27" fillId="0" borderId="0" xfId="19" applyFont="1" applyAlignment="1">
      <alignment horizontal="centerContinuous"/>
    </xf>
    <xf numFmtId="6" fontId="7" fillId="0" borderId="0" xfId="0" applyNumberFormat="1" applyFont="1" applyFill="1"/>
    <xf numFmtId="0" fontId="20" fillId="0" borderId="0" xfId="23" applyFont="1" applyAlignment="1">
      <alignment horizontal="right"/>
    </xf>
    <xf numFmtId="0" fontId="7" fillId="0" borderId="0" xfId="0" applyFont="1" applyAlignment="1">
      <alignment horizontal="right"/>
    </xf>
    <xf numFmtId="38" fontId="7" fillId="0" borderId="0" xfId="0" applyNumberFormat="1" applyFont="1" applyAlignment="1">
      <alignment horizontal="right"/>
    </xf>
    <xf numFmtId="10" fontId="7" fillId="0" borderId="0" xfId="10" applyNumberFormat="1" applyFont="1" applyFill="1" applyAlignment="1">
      <alignment horizontal="right"/>
    </xf>
    <xf numFmtId="0" fontId="28" fillId="0" borderId="0" xfId="0" applyFont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172" fontId="0" fillId="0" borderId="0" xfId="9" applyNumberFormat="1" applyFont="1" applyBorder="1"/>
    <xf numFmtId="172" fontId="0" fillId="0" borderId="0" xfId="9" applyNumberFormat="1" applyFont="1"/>
    <xf numFmtId="172" fontId="0" fillId="0" borderId="0" xfId="9" applyNumberFormat="1" applyFont="1" applyFill="1"/>
    <xf numFmtId="0" fontId="7" fillId="16" borderId="19" xfId="0" applyFont="1" applyFill="1" applyBorder="1" applyAlignment="1">
      <alignment horizontal="center" wrapText="1"/>
    </xf>
    <xf numFmtId="0" fontId="0" fillId="16" borderId="0" xfId="0" applyFill="1"/>
    <xf numFmtId="168" fontId="3" fillId="17" borderId="19" xfId="1" applyNumberFormat="1" applyFont="1" applyFill="1" applyBorder="1"/>
    <xf numFmtId="168" fontId="3" fillId="16" borderId="19" xfId="1" applyNumberFormat="1" applyFont="1" applyFill="1" applyBorder="1"/>
    <xf numFmtId="168" fontId="0" fillId="9" borderId="23" xfId="1" applyNumberFormat="1" applyFont="1" applyFill="1" applyBorder="1"/>
    <xf numFmtId="49" fontId="8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6" fillId="0" borderId="0" xfId="19" applyFont="1" applyAlignment="1">
      <alignment horizontal="left"/>
    </xf>
    <xf numFmtId="0" fontId="7" fillId="0" borderId="0" xfId="19" applyFont="1" applyFill="1" applyAlignment="1" applyProtection="1">
      <alignment horizontal="left"/>
      <protection locked="0"/>
    </xf>
    <xf numFmtId="0" fontId="7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/>
    <xf numFmtId="0" fontId="20" fillId="0" borderId="0" xfId="23" applyFont="1" applyAlignment="1">
      <alignment horizontal="center"/>
    </xf>
    <xf numFmtId="0" fontId="20" fillId="0" borderId="0" xfId="23" applyFont="1" applyBorder="1" applyAlignment="1">
      <alignment horizontal="center"/>
    </xf>
  </cellXfs>
  <cellStyles count="27">
    <cellStyle name="Comma" xfId="1" builtinId="3"/>
    <cellStyle name="Comma 2" xfId="17"/>
    <cellStyle name="Comma 3" xfId="22"/>
    <cellStyle name="Comma 4" xfId="24"/>
    <cellStyle name="Currency" xfId="2" builtinId="4"/>
    <cellStyle name="Currency 2" xfId="12"/>
    <cellStyle name="Currency 3" xfId="25"/>
    <cellStyle name="Normal" xfId="0" builtinId="0"/>
    <cellStyle name="Normal 2" xfId="10"/>
    <cellStyle name="Normal 3" xfId="11"/>
    <cellStyle name="Normal 4" xfId="19"/>
    <cellStyle name="Normal 5" xfId="23"/>
    <cellStyle name="Normal_Academic Support Per FYE" xfId="3"/>
    <cellStyle name="Normal_Denominator" xfId="14"/>
    <cellStyle name="Normal_FY2006 Detail" xfId="4"/>
    <cellStyle name="Normal_INSTRUCTION" xfId="5"/>
    <cellStyle name="Normal_Revenue Offset" xfId="6"/>
    <cellStyle name="Normal_Sheet1" xfId="7"/>
    <cellStyle name="Normal_Sheet1 2" xfId="13"/>
    <cellStyle name="Normal_Sheet1 3" xfId="20"/>
    <cellStyle name="Normal_Sheet2" xfId="8"/>
    <cellStyle name="Normal_Sheet2 2" xfId="18"/>
    <cellStyle name="Normal_Sheet3" xfId="15"/>
    <cellStyle name="Percent" xfId="9" builtinId="5"/>
    <cellStyle name="Percent 2" xfId="16"/>
    <cellStyle name="Percent 3" xfId="21"/>
    <cellStyle name="Percent 4" xfId="2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argain/000_Allocation%20Framework/TAC/FY2016%20meetings/Analysis/Student%20and%20Institutional/Summary%20of%20FY2017%20Institutional%20Allocations%20FOR%20ANALYSIS%20ONE%20YE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argain/000_Allocation%20Framework/TAC/FY2017%20meetings/Analysis/Transition/FY2017%20Institutional%20Allocations%20for%20analysis%20all%20recs%20except%20student%20success_0928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5 Detail"/>
      <sheetName val="Alloc Diff2"/>
      <sheetName val="Alloc Differ 1"/>
      <sheetName val="FY15 Detail"/>
      <sheetName val="Instruction"/>
      <sheetName val="Academic Support Per FYE"/>
      <sheetName val="Facilities"/>
      <sheetName val="Student &amp; Institutional Support"/>
      <sheetName val="Library"/>
      <sheetName val="Research"/>
      <sheetName val="Enrollment"/>
      <sheetName val="Enrollment Detail"/>
      <sheetName val="Revenue Offset"/>
    </sheetNames>
    <sheetDataSet>
      <sheetData sheetId="0">
        <row r="40">
          <cell r="B40" t="str">
            <v>MnSCU Finance Division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5 Detail"/>
      <sheetName val="Alloc Dif (2)"/>
      <sheetName val="Alloc Dif"/>
      <sheetName val="FY15 Detail"/>
      <sheetName val="Instruction"/>
      <sheetName val="Academic Support Per FYE"/>
      <sheetName val="Student Success"/>
      <sheetName val="Student &amp; Institutional Sup (2"/>
      <sheetName val="Student &amp; Institutional Support"/>
      <sheetName val="Facilities"/>
      <sheetName val="Library"/>
      <sheetName val="Research"/>
      <sheetName val="Enrollment"/>
      <sheetName val="Enrollment Detail"/>
      <sheetName val="Revenue Offset"/>
      <sheetName val="Research (2)"/>
      <sheetName val="Revenue Offse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0">
          <cell r="G40">
            <v>0.58953142624222721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D40"/>
  <sheetViews>
    <sheetView zoomScale="80" workbookViewId="0">
      <pane xSplit="3" ySplit="5" topLeftCell="D18" activePane="bottomRight" state="frozen"/>
      <selection activeCell="F2" sqref="F2"/>
      <selection pane="topRight" activeCell="F2" sqref="F2"/>
      <selection pane="bottomLeft" activeCell="F2" sqref="F2"/>
      <selection pane="bottomRight" activeCell="B41" sqref="B41"/>
    </sheetView>
  </sheetViews>
  <sheetFormatPr defaultRowHeight="12.75" x14ac:dyDescent="0.2"/>
  <cols>
    <col min="1" max="1" width="4.7109375" hidden="1" customWidth="1"/>
    <col min="2" max="2" width="5" customWidth="1"/>
    <col min="3" max="3" width="30.7109375" customWidth="1"/>
    <col min="4" max="4" width="8" style="54" customWidth="1"/>
  </cols>
  <sheetData>
    <row r="1" spans="1:4" s="15" customFormat="1" ht="15.75" x14ac:dyDescent="0.25">
      <c r="A1" s="21"/>
      <c r="B1" s="39"/>
      <c r="D1" s="177"/>
    </row>
    <row r="2" spans="1:4" s="15" customFormat="1" ht="24.75" customHeight="1" x14ac:dyDescent="0.2">
      <c r="A2" s="21"/>
      <c r="B2" s="21"/>
      <c r="C2" s="21"/>
      <c r="D2" s="91"/>
    </row>
    <row r="3" spans="1:4" s="15" customFormat="1" x14ac:dyDescent="0.2">
      <c r="A3" s="29"/>
      <c r="B3" s="19"/>
      <c r="C3" s="19"/>
      <c r="D3" s="178"/>
    </row>
    <row r="4" spans="1:4" ht="92.25" customHeight="1" x14ac:dyDescent="0.2">
      <c r="B4" s="1" t="s">
        <v>0</v>
      </c>
      <c r="C4" s="1" t="s">
        <v>1</v>
      </c>
      <c r="D4" s="179" t="s">
        <v>186</v>
      </c>
    </row>
    <row r="5" spans="1:4" x14ac:dyDescent="0.2">
      <c r="B5" s="2"/>
      <c r="C5" s="2"/>
      <c r="D5" s="180"/>
    </row>
    <row r="6" spans="1:4" x14ac:dyDescent="0.2">
      <c r="A6">
        <v>1</v>
      </c>
      <c r="B6" s="10" t="s">
        <v>2</v>
      </c>
      <c r="C6" s="3" t="s">
        <v>3</v>
      </c>
      <c r="D6" s="181">
        <v>1944</v>
      </c>
    </row>
    <row r="7" spans="1:4" s="54" customFormat="1" x14ac:dyDescent="0.2">
      <c r="A7" s="54">
        <v>2</v>
      </c>
      <c r="B7" s="10" t="s">
        <v>4</v>
      </c>
      <c r="C7" s="3" t="s">
        <v>129</v>
      </c>
      <c r="D7" s="181">
        <v>6709</v>
      </c>
    </row>
    <row r="8" spans="1:4" ht="12" customHeight="1" x14ac:dyDescent="0.2">
      <c r="A8">
        <v>4</v>
      </c>
      <c r="B8" s="10" t="s">
        <v>5</v>
      </c>
      <c r="C8" s="3" t="s">
        <v>118</v>
      </c>
      <c r="D8" s="181">
        <v>4913</v>
      </c>
    </row>
    <row r="9" spans="1:4" x14ac:dyDescent="0.2">
      <c r="A9">
        <v>3</v>
      </c>
      <c r="B9" s="37" t="s">
        <v>6</v>
      </c>
      <c r="C9" s="3" t="s">
        <v>7</v>
      </c>
      <c r="D9" s="181">
        <v>2612</v>
      </c>
    </row>
    <row r="10" spans="1:4" x14ac:dyDescent="0.2">
      <c r="A10">
        <v>3</v>
      </c>
      <c r="B10" s="37" t="s">
        <v>8</v>
      </c>
      <c r="C10" s="3" t="s">
        <v>9</v>
      </c>
      <c r="D10" s="181">
        <v>5978</v>
      </c>
    </row>
    <row r="11" spans="1:4" x14ac:dyDescent="0.2">
      <c r="A11">
        <v>1</v>
      </c>
      <c r="B11" s="37" t="s">
        <v>10</v>
      </c>
      <c r="C11" s="3" t="s">
        <v>11</v>
      </c>
      <c r="D11" s="181">
        <v>5147</v>
      </c>
    </row>
    <row r="12" spans="1:4" x14ac:dyDescent="0.2">
      <c r="A12">
        <v>2</v>
      </c>
      <c r="B12" s="37" t="s">
        <v>12</v>
      </c>
      <c r="C12" s="3" t="s">
        <v>13</v>
      </c>
      <c r="D12" s="181">
        <v>1121</v>
      </c>
    </row>
    <row r="13" spans="1:4" x14ac:dyDescent="0.2">
      <c r="A13">
        <v>1</v>
      </c>
      <c r="B13" s="37" t="s">
        <v>14</v>
      </c>
      <c r="C13" s="3" t="s">
        <v>15</v>
      </c>
      <c r="D13" s="181">
        <v>3505</v>
      </c>
    </row>
    <row r="14" spans="1:4" x14ac:dyDescent="0.2">
      <c r="A14">
        <v>3</v>
      </c>
      <c r="B14" s="37" t="s">
        <v>16</v>
      </c>
      <c r="C14" s="3" t="s">
        <v>17</v>
      </c>
      <c r="D14" s="181">
        <v>3160</v>
      </c>
    </row>
    <row r="15" spans="1:4" x14ac:dyDescent="0.2">
      <c r="A15">
        <v>4</v>
      </c>
      <c r="B15" s="37" t="s">
        <v>18</v>
      </c>
      <c r="C15" s="3" t="s">
        <v>68</v>
      </c>
      <c r="D15" s="181">
        <v>6168</v>
      </c>
    </row>
    <row r="16" spans="1:4" x14ac:dyDescent="0.2">
      <c r="A16">
        <v>3</v>
      </c>
      <c r="B16" s="37" t="s">
        <v>19</v>
      </c>
      <c r="C16" s="3" t="s">
        <v>20</v>
      </c>
      <c r="D16" s="181">
        <v>5074</v>
      </c>
    </row>
    <row r="17" spans="1:4" ht="12" customHeight="1" x14ac:dyDescent="0.2">
      <c r="A17">
        <v>1</v>
      </c>
      <c r="B17" s="37" t="s">
        <v>21</v>
      </c>
      <c r="C17" s="3" t="s">
        <v>71</v>
      </c>
      <c r="D17" s="181">
        <v>1286</v>
      </c>
    </row>
    <row r="18" spans="1:4" ht="12" customHeight="1" x14ac:dyDescent="0.2">
      <c r="B18" s="37" t="s">
        <v>114</v>
      </c>
      <c r="C18" s="3" t="s">
        <v>117</v>
      </c>
      <c r="D18" s="181">
        <v>4202</v>
      </c>
    </row>
    <row r="19" spans="1:4" x14ac:dyDescent="0.2">
      <c r="A19">
        <v>4</v>
      </c>
      <c r="B19" s="37" t="s">
        <v>26</v>
      </c>
      <c r="C19" s="3" t="s">
        <v>62</v>
      </c>
      <c r="D19" s="181">
        <v>5378</v>
      </c>
    </row>
    <row r="20" spans="1:4" x14ac:dyDescent="0.2">
      <c r="A20">
        <v>4</v>
      </c>
      <c r="B20" s="37" t="s">
        <v>22</v>
      </c>
      <c r="C20" s="3" t="s">
        <v>23</v>
      </c>
      <c r="D20" s="181">
        <v>13657</v>
      </c>
    </row>
    <row r="21" spans="1:4" x14ac:dyDescent="0.2">
      <c r="A21">
        <v>3</v>
      </c>
      <c r="B21" s="37" t="s">
        <v>24</v>
      </c>
      <c r="C21" s="3" t="s">
        <v>25</v>
      </c>
      <c r="D21" s="181">
        <v>1895</v>
      </c>
    </row>
    <row r="22" spans="1:4" x14ac:dyDescent="0.2">
      <c r="A22">
        <v>2</v>
      </c>
      <c r="B22" s="37" t="s">
        <v>27</v>
      </c>
      <c r="C22" s="3" t="s">
        <v>28</v>
      </c>
      <c r="D22" s="181">
        <v>6915</v>
      </c>
    </row>
    <row r="23" spans="1:4" x14ac:dyDescent="0.2">
      <c r="A23">
        <v>2</v>
      </c>
      <c r="B23" s="37" t="s">
        <v>29</v>
      </c>
      <c r="C23" s="3" t="s">
        <v>30</v>
      </c>
      <c r="D23" s="181">
        <v>4198</v>
      </c>
    </row>
    <row r="24" spans="1:4" ht="12.75" customHeight="1" x14ac:dyDescent="0.2">
      <c r="A24">
        <v>3</v>
      </c>
      <c r="B24" s="37" t="s">
        <v>123</v>
      </c>
      <c r="C24" s="3" t="s">
        <v>63</v>
      </c>
      <c r="D24" s="182">
        <v>3586</v>
      </c>
    </row>
    <row r="25" spans="1:4" x14ac:dyDescent="0.2">
      <c r="A25">
        <v>3</v>
      </c>
      <c r="B25" s="37" t="s">
        <v>115</v>
      </c>
      <c r="C25" s="3" t="s">
        <v>32</v>
      </c>
      <c r="D25" s="181">
        <v>2227</v>
      </c>
    </row>
    <row r="26" spans="1:4" x14ac:dyDescent="0.2">
      <c r="A26">
        <v>1</v>
      </c>
      <c r="B26" s="37" t="s">
        <v>33</v>
      </c>
      <c r="C26" s="3" t="s">
        <v>34</v>
      </c>
      <c r="D26" s="181">
        <v>742</v>
      </c>
    </row>
    <row r="27" spans="1:4" x14ac:dyDescent="0.2">
      <c r="A27">
        <v>3</v>
      </c>
      <c r="B27" s="37" t="s">
        <v>35</v>
      </c>
      <c r="C27" s="3" t="s">
        <v>36</v>
      </c>
      <c r="D27" s="181">
        <v>2754</v>
      </c>
    </row>
    <row r="28" spans="1:4" x14ac:dyDescent="0.2">
      <c r="A28">
        <v>3</v>
      </c>
      <c r="B28" s="37" t="s">
        <v>37</v>
      </c>
      <c r="C28" s="3" t="s">
        <v>38</v>
      </c>
      <c r="D28" s="181">
        <v>2019</v>
      </c>
    </row>
    <row r="29" spans="1:4" x14ac:dyDescent="0.2">
      <c r="A29">
        <v>3</v>
      </c>
      <c r="B29" s="37" t="s">
        <v>39</v>
      </c>
      <c r="C29" s="3" t="s">
        <v>40</v>
      </c>
      <c r="D29" s="181">
        <v>3682</v>
      </c>
    </row>
    <row r="30" spans="1:4" x14ac:dyDescent="0.2">
      <c r="A30">
        <v>1</v>
      </c>
      <c r="B30" s="37" t="s">
        <v>46</v>
      </c>
      <c r="C30" s="3" t="s">
        <v>70</v>
      </c>
      <c r="D30" s="181">
        <v>4637</v>
      </c>
    </row>
    <row r="31" spans="1:4" x14ac:dyDescent="0.2">
      <c r="A31">
        <v>4</v>
      </c>
      <c r="B31" s="37" t="s">
        <v>41</v>
      </c>
      <c r="C31" s="3" t="s">
        <v>122</v>
      </c>
      <c r="D31" s="181">
        <v>2159</v>
      </c>
    </row>
    <row r="32" spans="1:4" x14ac:dyDescent="0.2">
      <c r="A32">
        <v>4</v>
      </c>
      <c r="B32" s="37" t="s">
        <v>42</v>
      </c>
      <c r="C32" s="3" t="s">
        <v>69</v>
      </c>
      <c r="D32" s="181">
        <v>3760</v>
      </c>
    </row>
    <row r="33" spans="1:4" x14ac:dyDescent="0.2">
      <c r="A33">
        <v>1</v>
      </c>
      <c r="B33" s="37" t="s">
        <v>43</v>
      </c>
      <c r="C33" s="3" t="s">
        <v>44</v>
      </c>
      <c r="D33" s="181">
        <v>11480</v>
      </c>
    </row>
    <row r="34" spans="1:4" x14ac:dyDescent="0.2">
      <c r="A34">
        <v>1</v>
      </c>
      <c r="B34" s="37" t="s">
        <v>45</v>
      </c>
      <c r="C34" s="3" t="s">
        <v>127</v>
      </c>
      <c r="D34" s="181">
        <v>3202</v>
      </c>
    </row>
    <row r="35" spans="1:4" x14ac:dyDescent="0.2">
      <c r="A35">
        <v>4</v>
      </c>
      <c r="B35" s="37" t="s">
        <v>47</v>
      </c>
      <c r="C35" s="3" t="s">
        <v>48</v>
      </c>
      <c r="D35" s="181">
        <v>7530</v>
      </c>
    </row>
    <row r="37" spans="1:4" x14ac:dyDescent="0.2">
      <c r="B37" s="4"/>
      <c r="C37" s="4" t="s">
        <v>49</v>
      </c>
      <c r="D37" s="183">
        <f t="shared" ref="D37" si="0">SUM(D6:D36)</f>
        <v>131640</v>
      </c>
    </row>
    <row r="38" spans="1:4" ht="14.25" customHeight="1" x14ac:dyDescent="0.2">
      <c r="B38" s="4"/>
      <c r="C38" s="4"/>
      <c r="D38" s="183"/>
    </row>
    <row r="39" spans="1:4" ht="16.5" customHeight="1" x14ac:dyDescent="0.2">
      <c r="B39" s="16" t="s">
        <v>50</v>
      </c>
    </row>
    <row r="40" spans="1:4" ht="12" customHeight="1" x14ac:dyDescent="0.2">
      <c r="B40" s="499" t="s">
        <v>333</v>
      </c>
      <c r="C40" s="500"/>
    </row>
  </sheetData>
  <mergeCells count="1">
    <mergeCell ref="B40:C40"/>
  </mergeCells>
  <phoneticPr fontId="11" type="noConversion"/>
  <pageMargins left="0.3" right="0.08" top="0.82" bottom="0.13" header="0.18" footer="0.13"/>
  <pageSetup scale="80" orientation="landscape" copies="4" r:id="rId1"/>
  <headerFooter alignWithMargins="0">
    <oddHeader xml:space="preserve">&amp;C&amp;"Arial,Bold"Minnesota State Colleges and Universities
FY2015
COLLEGE/UNIVERSITY ALLOCATIONS
(FRAMEWORK BASED ON FY2013 DATA) -  Draft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pane xSplit="1" ySplit="5" topLeftCell="B42" activePane="bottomRight" state="frozen"/>
      <selection activeCell="C7" sqref="C7"/>
      <selection pane="topRight" activeCell="C7" sqref="C7"/>
      <selection pane="bottomLeft" activeCell="C7" sqref="C7"/>
      <selection pane="bottomRight" activeCell="A4" sqref="A4"/>
    </sheetView>
  </sheetViews>
  <sheetFormatPr defaultRowHeight="12.75" x14ac:dyDescent="0.2"/>
  <cols>
    <col min="1" max="1" width="40.28515625" style="427" customWidth="1"/>
    <col min="2" max="2" width="6.42578125" style="443" bestFit="1" customWidth="1"/>
    <col min="3" max="3" width="7.28515625" style="443" bestFit="1" customWidth="1"/>
    <col min="4" max="4" width="5.85546875" style="428" bestFit="1" customWidth="1"/>
    <col min="5" max="5" width="8.140625" style="428" bestFit="1" customWidth="1"/>
    <col min="6" max="6" width="8.140625" style="443" customWidth="1"/>
    <col min="7" max="7" width="6.5703125" style="428" customWidth="1"/>
    <col min="8" max="8" width="8.5703125" style="443" customWidth="1"/>
    <col min="9" max="9" width="8.140625" style="443" customWidth="1"/>
    <col min="10" max="10" width="11.140625" style="427" customWidth="1"/>
    <col min="11" max="11" width="4.28515625" style="427" customWidth="1"/>
    <col min="12" max="16384" width="9.140625" style="427"/>
  </cols>
  <sheetData>
    <row r="1" spans="1:11" ht="15" customHeight="1" x14ac:dyDescent="0.2">
      <c r="A1" s="510" t="s">
        <v>192</v>
      </c>
      <c r="B1" s="510"/>
      <c r="C1" s="510"/>
      <c r="D1" s="510"/>
      <c r="E1" s="510"/>
      <c r="F1" s="510"/>
      <c r="G1" s="510"/>
      <c r="H1" s="510"/>
      <c r="I1" s="510"/>
      <c r="J1" s="510"/>
    </row>
    <row r="2" spans="1:11" ht="15" customHeight="1" x14ac:dyDescent="0.2">
      <c r="A2" s="510" t="s">
        <v>72</v>
      </c>
      <c r="B2" s="510"/>
      <c r="C2" s="510"/>
      <c r="D2" s="510"/>
      <c r="E2" s="510"/>
      <c r="F2" s="510"/>
      <c r="G2" s="510"/>
      <c r="H2" s="510"/>
      <c r="I2" s="510"/>
      <c r="J2" s="510"/>
    </row>
    <row r="3" spans="1:11" ht="15" customHeight="1" x14ac:dyDescent="0.2">
      <c r="A3" s="510" t="s">
        <v>335</v>
      </c>
      <c r="B3" s="510"/>
      <c r="C3" s="510"/>
      <c r="D3" s="510"/>
      <c r="E3" s="510"/>
      <c r="F3" s="510"/>
      <c r="G3" s="510"/>
      <c r="H3" s="510"/>
      <c r="I3" s="510"/>
      <c r="J3" s="510"/>
    </row>
    <row r="4" spans="1:11" ht="15" customHeight="1" x14ac:dyDescent="0.2">
      <c r="J4" s="485" t="s">
        <v>324</v>
      </c>
    </row>
    <row r="5" spans="1:11" ht="63.75" x14ac:dyDescent="0.2">
      <c r="A5" s="429" t="s">
        <v>193</v>
      </c>
      <c r="B5" s="444" t="s">
        <v>194</v>
      </c>
      <c r="C5" s="444" t="s">
        <v>195</v>
      </c>
      <c r="D5" s="445" t="s">
        <v>196</v>
      </c>
      <c r="E5" s="445" t="s">
        <v>197</v>
      </c>
      <c r="F5" s="446" t="s">
        <v>310</v>
      </c>
      <c r="G5" s="445" t="s">
        <v>198</v>
      </c>
      <c r="H5" s="446" t="s">
        <v>199</v>
      </c>
      <c r="I5" s="430" t="s">
        <v>311</v>
      </c>
      <c r="J5" s="447" t="s">
        <v>200</v>
      </c>
      <c r="K5" s="431"/>
    </row>
    <row r="6" spans="1:11" ht="15" customHeight="1" x14ac:dyDescent="0.2">
      <c r="A6" s="432" t="s">
        <v>201</v>
      </c>
      <c r="B6" s="448">
        <v>821</v>
      </c>
      <c r="C6" s="448">
        <v>594</v>
      </c>
      <c r="D6" s="449">
        <v>0.72350791717417784</v>
      </c>
      <c r="E6" s="449">
        <v>0.70425751169160444</v>
      </c>
      <c r="F6" s="448">
        <v>578.1954170988073</v>
      </c>
      <c r="G6" s="449">
        <v>0.70910030175158245</v>
      </c>
      <c r="H6" s="448">
        <v>582.17134773804923</v>
      </c>
      <c r="I6" s="448">
        <f>IF(C6-H6&gt;0,ROUND(C6-H6,0),0)</f>
        <v>12</v>
      </c>
      <c r="J6" s="450">
        <f>J$47*ROUND(I6,0)</f>
        <v>120000</v>
      </c>
    </row>
    <row r="7" spans="1:11" ht="15" customHeight="1" x14ac:dyDescent="0.2">
      <c r="A7" s="432" t="s">
        <v>202</v>
      </c>
      <c r="B7" s="448">
        <v>2533</v>
      </c>
      <c r="C7" s="448">
        <v>1612</v>
      </c>
      <c r="D7" s="449">
        <v>0.63639952625345442</v>
      </c>
      <c r="E7" s="449">
        <v>0.63992136239858921</v>
      </c>
      <c r="F7" s="448">
        <v>1620.9208109556264</v>
      </c>
      <c r="G7" s="449">
        <v>0.64438368469562912</v>
      </c>
      <c r="H7" s="448">
        <v>1632.2238733340287</v>
      </c>
      <c r="I7" s="448">
        <f>IF(C7-H7&gt;0,ROUND(C7-H7,0),0)</f>
        <v>0</v>
      </c>
      <c r="J7" s="450">
        <f t="shared" ref="J7:J36" si="0">J$47*ROUND(I7,0)</f>
        <v>0</v>
      </c>
    </row>
    <row r="8" spans="1:11" ht="15" customHeight="1" x14ac:dyDescent="0.2">
      <c r="A8" s="432" t="s">
        <v>203</v>
      </c>
      <c r="B8" s="448">
        <v>934</v>
      </c>
      <c r="C8" s="448">
        <v>579</v>
      </c>
      <c r="D8" s="449">
        <v>0.61991434689507496</v>
      </c>
      <c r="E8" s="449">
        <v>0.65428145210992605</v>
      </c>
      <c r="F8" s="448">
        <v>611.09887627067098</v>
      </c>
      <c r="G8" s="449">
        <v>0.65998444560597924</v>
      </c>
      <c r="H8" s="448">
        <v>616.42547219598464</v>
      </c>
      <c r="I8" s="448">
        <f t="shared" ref="I8:I21" si="1">IF(C8-H8&gt;0,ROUND(C8-H8,0),0)</f>
        <v>0</v>
      </c>
      <c r="J8" s="450">
        <f t="shared" si="0"/>
        <v>0</v>
      </c>
    </row>
    <row r="9" spans="1:11" ht="15" customHeight="1" x14ac:dyDescent="0.2">
      <c r="A9" s="432" t="s">
        <v>7</v>
      </c>
      <c r="B9" s="448">
        <v>997</v>
      </c>
      <c r="C9" s="448">
        <v>639</v>
      </c>
      <c r="D9" s="449">
        <v>0.64092276830491479</v>
      </c>
      <c r="E9" s="449">
        <v>0.67017862594477451</v>
      </c>
      <c r="F9" s="448">
        <v>668.16809006694018</v>
      </c>
      <c r="G9" s="449">
        <v>0.67406618121052131</v>
      </c>
      <c r="H9" s="448">
        <v>672.04398266688975</v>
      </c>
      <c r="I9" s="448">
        <f t="shared" si="1"/>
        <v>0</v>
      </c>
      <c r="J9" s="450">
        <f t="shared" si="0"/>
        <v>0</v>
      </c>
    </row>
    <row r="10" spans="1:11" ht="15" customHeight="1" x14ac:dyDescent="0.2">
      <c r="A10" s="432" t="s">
        <v>9</v>
      </c>
      <c r="B10" s="448">
        <v>3290</v>
      </c>
      <c r="C10" s="448">
        <v>2139</v>
      </c>
      <c r="D10" s="449">
        <v>0.6501519756838906</v>
      </c>
      <c r="E10" s="449">
        <v>0.6342540444493191</v>
      </c>
      <c r="F10" s="448">
        <v>2086.69580623826</v>
      </c>
      <c r="G10" s="449">
        <v>0.63788946147449521</v>
      </c>
      <c r="H10" s="448">
        <v>2098.6563282510892</v>
      </c>
      <c r="I10" s="448">
        <f t="shared" si="1"/>
        <v>40</v>
      </c>
      <c r="J10" s="450">
        <f t="shared" si="0"/>
        <v>400000</v>
      </c>
    </row>
    <row r="11" spans="1:11" ht="15" customHeight="1" x14ac:dyDescent="0.2">
      <c r="A11" s="432" t="s">
        <v>204</v>
      </c>
      <c r="B11" s="448">
        <v>1228</v>
      </c>
      <c r="C11" s="448">
        <v>861</v>
      </c>
      <c r="D11" s="449">
        <v>0.70114006514657978</v>
      </c>
      <c r="E11" s="449">
        <v>0.68240335910238503</v>
      </c>
      <c r="F11" s="448">
        <v>837.99132497772882</v>
      </c>
      <c r="G11" s="449">
        <v>0.68761353825812421</v>
      </c>
      <c r="H11" s="448">
        <v>844.38942498097651</v>
      </c>
      <c r="I11" s="448">
        <f t="shared" si="1"/>
        <v>17</v>
      </c>
      <c r="J11" s="450">
        <f t="shared" si="0"/>
        <v>170000</v>
      </c>
    </row>
    <row r="12" spans="1:11" ht="15" customHeight="1" x14ac:dyDescent="0.2">
      <c r="A12" s="309" t="s">
        <v>234</v>
      </c>
      <c r="B12" s="448">
        <v>421</v>
      </c>
      <c r="C12" s="448">
        <v>259</v>
      </c>
      <c r="D12" s="449">
        <v>0.61520190023752974</v>
      </c>
      <c r="E12" s="449">
        <v>0.63227342044640189</v>
      </c>
      <c r="F12" s="448">
        <v>266.18711000793519</v>
      </c>
      <c r="G12" s="449">
        <v>0.63934979726625252</v>
      </c>
      <c r="H12" s="448">
        <v>269.16626464909228</v>
      </c>
      <c r="I12" s="448">
        <f t="shared" si="1"/>
        <v>0</v>
      </c>
      <c r="J12" s="450">
        <f t="shared" si="0"/>
        <v>0</v>
      </c>
    </row>
    <row r="13" spans="1:11" ht="15" customHeight="1" x14ac:dyDescent="0.2">
      <c r="A13" s="432" t="s">
        <v>145</v>
      </c>
      <c r="B13" s="448">
        <v>2305</v>
      </c>
      <c r="C13" s="448">
        <v>1464</v>
      </c>
      <c r="D13" s="449">
        <v>0.63514099783080258</v>
      </c>
      <c r="E13" s="449">
        <v>0.64013033850483636</v>
      </c>
      <c r="F13" s="448">
        <v>1475.5004302536479</v>
      </c>
      <c r="G13" s="449">
        <v>0.64496103928703752</v>
      </c>
      <c r="H13" s="448">
        <v>1486.6351955566215</v>
      </c>
      <c r="I13" s="448">
        <f t="shared" si="1"/>
        <v>0</v>
      </c>
      <c r="J13" s="450">
        <f t="shared" si="0"/>
        <v>0</v>
      </c>
    </row>
    <row r="14" spans="1:11" ht="15" customHeight="1" x14ac:dyDescent="0.2">
      <c r="A14" s="432" t="s">
        <v>205</v>
      </c>
      <c r="B14" s="448">
        <v>1849</v>
      </c>
      <c r="C14" s="448">
        <v>1175</v>
      </c>
      <c r="D14" s="449">
        <v>0.63547863710113572</v>
      </c>
      <c r="E14" s="449">
        <v>0.64007534685277667</v>
      </c>
      <c r="F14" s="448">
        <v>1183.499316330784</v>
      </c>
      <c r="G14" s="449">
        <v>0.64359170403862398</v>
      </c>
      <c r="H14" s="448">
        <v>1190.0010607674158</v>
      </c>
      <c r="I14" s="448">
        <f t="shared" si="1"/>
        <v>0</v>
      </c>
      <c r="J14" s="450">
        <f t="shared" si="0"/>
        <v>0</v>
      </c>
    </row>
    <row r="15" spans="1:11" ht="15" customHeight="1" x14ac:dyDescent="0.2">
      <c r="A15" s="432" t="s">
        <v>17</v>
      </c>
      <c r="B15" s="448">
        <v>1362</v>
      </c>
      <c r="C15" s="448">
        <v>918</v>
      </c>
      <c r="D15" s="449">
        <v>0.67400881057268724</v>
      </c>
      <c r="E15" s="449">
        <v>0.67145402892708961</v>
      </c>
      <c r="F15" s="448">
        <v>914.52038739869602</v>
      </c>
      <c r="G15" s="449">
        <v>0.67535489886312128</v>
      </c>
      <c r="H15" s="448">
        <v>919.83337225157118</v>
      </c>
      <c r="I15" s="448">
        <f t="shared" si="1"/>
        <v>0</v>
      </c>
      <c r="J15" s="450">
        <f t="shared" si="0"/>
        <v>0</v>
      </c>
    </row>
    <row r="16" spans="1:11" ht="15" customHeight="1" x14ac:dyDescent="0.2">
      <c r="A16" s="432" t="s">
        <v>206</v>
      </c>
      <c r="B16" s="448">
        <v>3197</v>
      </c>
      <c r="C16" s="448">
        <v>1874</v>
      </c>
      <c r="D16" s="449">
        <v>0.5861745386299656</v>
      </c>
      <c r="E16" s="449">
        <v>0.6064663903313392</v>
      </c>
      <c r="F16" s="448">
        <v>1938.8730498892915</v>
      </c>
      <c r="G16" s="449">
        <v>0.61098985018191487</v>
      </c>
      <c r="H16" s="448">
        <v>1953.3345510315819</v>
      </c>
      <c r="I16" s="448">
        <f t="shared" si="1"/>
        <v>0</v>
      </c>
      <c r="J16" s="450">
        <f t="shared" si="0"/>
        <v>0</v>
      </c>
    </row>
    <row r="17" spans="1:10" ht="15" customHeight="1" x14ac:dyDescent="0.2">
      <c r="A17" s="432" t="s">
        <v>235</v>
      </c>
      <c r="B17" s="448">
        <v>759</v>
      </c>
      <c r="C17" s="448">
        <v>534</v>
      </c>
      <c r="D17" s="449">
        <v>0.70355731225296447</v>
      </c>
      <c r="E17" s="449">
        <v>0.66097892658183688</v>
      </c>
      <c r="F17" s="448">
        <v>501.68300527561416</v>
      </c>
      <c r="G17" s="449">
        <v>0.66506259830705783</v>
      </c>
      <c r="H17" s="448">
        <v>504.78251211505687</v>
      </c>
      <c r="I17" s="448">
        <f t="shared" si="1"/>
        <v>29</v>
      </c>
      <c r="J17" s="450">
        <f t="shared" si="0"/>
        <v>290000</v>
      </c>
    </row>
    <row r="18" spans="1:10" ht="15" customHeight="1" x14ac:dyDescent="0.2">
      <c r="A18" s="432" t="s">
        <v>208</v>
      </c>
      <c r="B18" s="448">
        <v>2143</v>
      </c>
      <c r="C18" s="448">
        <v>1398</v>
      </c>
      <c r="D18" s="449">
        <v>0.65235650956602897</v>
      </c>
      <c r="E18" s="449">
        <v>0.64610607322326408</v>
      </c>
      <c r="F18" s="448">
        <v>1384.605314917455</v>
      </c>
      <c r="G18" s="449">
        <v>0.64902050177299864</v>
      </c>
      <c r="H18" s="448">
        <v>1390.8509352995361</v>
      </c>
      <c r="I18" s="448">
        <f t="shared" si="1"/>
        <v>7</v>
      </c>
      <c r="J18" s="450">
        <f t="shared" si="0"/>
        <v>70000</v>
      </c>
    </row>
    <row r="19" spans="1:10" ht="15" customHeight="1" x14ac:dyDescent="0.2">
      <c r="A19" s="432" t="s">
        <v>236</v>
      </c>
      <c r="B19" s="448">
        <v>712</v>
      </c>
      <c r="C19" s="448">
        <v>525</v>
      </c>
      <c r="D19" s="449">
        <v>0.73735955056179781</v>
      </c>
      <c r="E19" s="449">
        <v>0.65861395541238776</v>
      </c>
      <c r="F19" s="448">
        <v>468.93313625362009</v>
      </c>
      <c r="G19" s="449">
        <v>0.66319790246977017</v>
      </c>
      <c r="H19" s="448">
        <v>472.19690655847637</v>
      </c>
      <c r="I19" s="448">
        <f t="shared" si="1"/>
        <v>53</v>
      </c>
      <c r="J19" s="450">
        <f t="shared" si="0"/>
        <v>530000</v>
      </c>
    </row>
    <row r="20" spans="1:10" ht="15" customHeight="1" x14ac:dyDescent="0.2">
      <c r="A20" s="432" t="s">
        <v>137</v>
      </c>
      <c r="B20" s="448">
        <v>3299</v>
      </c>
      <c r="C20" s="448">
        <v>2127</v>
      </c>
      <c r="D20" s="449">
        <v>0.64474083055471354</v>
      </c>
      <c r="E20" s="449">
        <v>0.64182740025332197</v>
      </c>
      <c r="F20" s="448">
        <v>2117.388593435709</v>
      </c>
      <c r="G20" s="449">
        <v>0.64565416113620799</v>
      </c>
      <c r="H20" s="448">
        <v>2130.0130775883504</v>
      </c>
      <c r="I20" s="448">
        <f t="shared" si="1"/>
        <v>0</v>
      </c>
      <c r="J20" s="450">
        <f t="shared" si="0"/>
        <v>0</v>
      </c>
    </row>
    <row r="21" spans="1:10" ht="15" customHeight="1" x14ac:dyDescent="0.2">
      <c r="A21" s="432" t="s">
        <v>138</v>
      </c>
      <c r="B21" s="448">
        <v>2483</v>
      </c>
      <c r="C21" s="448">
        <v>1581</v>
      </c>
      <c r="D21" s="449">
        <v>0.63672976238421264</v>
      </c>
      <c r="E21" s="449">
        <v>0.61008181676083217</v>
      </c>
      <c r="F21" s="448">
        <v>1514.8331510171463</v>
      </c>
      <c r="G21" s="449">
        <v>0.61530905698018967</v>
      </c>
      <c r="H21" s="448">
        <v>1527.812388481811</v>
      </c>
      <c r="I21" s="448">
        <f t="shared" si="1"/>
        <v>53</v>
      </c>
      <c r="J21" s="450">
        <f t="shared" si="0"/>
        <v>530000</v>
      </c>
    </row>
    <row r="22" spans="1:10" ht="15" customHeight="1" x14ac:dyDescent="0.2">
      <c r="A22" s="437" t="s">
        <v>63</v>
      </c>
      <c r="B22" s="451">
        <v>1858</v>
      </c>
      <c r="C22" s="451">
        <v>1278</v>
      </c>
      <c r="D22" s="452">
        <v>0.68783638320775031</v>
      </c>
      <c r="E22" s="452">
        <v>0.68784230522100509</v>
      </c>
      <c r="F22" s="451">
        <v>1278.0110031006275</v>
      </c>
      <c r="G22" s="452">
        <v>0.69291266216458269</v>
      </c>
      <c r="H22" s="451">
        <v>1287.4317263017947</v>
      </c>
      <c r="I22" s="451">
        <f>SUM(I23:I27)</f>
        <v>3</v>
      </c>
      <c r="J22" s="453">
        <f t="shared" si="0"/>
        <v>30000</v>
      </c>
    </row>
    <row r="23" spans="1:10" ht="15" customHeight="1" x14ac:dyDescent="0.2">
      <c r="A23" s="432" t="s">
        <v>209</v>
      </c>
      <c r="B23" s="448">
        <v>549</v>
      </c>
      <c r="C23" s="448">
        <v>381</v>
      </c>
      <c r="D23" s="449">
        <v>0.69398907103825136</v>
      </c>
      <c r="E23" s="449">
        <v>0.70115033959398476</v>
      </c>
      <c r="F23" s="448">
        <v>384.93153643709763</v>
      </c>
      <c r="G23" s="449">
        <v>0.70725437449317508</v>
      </c>
      <c r="H23" s="448">
        <v>388.28265159675311</v>
      </c>
      <c r="I23" s="448">
        <f t="shared" ref="I23:I36" si="2">IF(C23-H23&gt;0,ROUND(C23-H23,0),0)</f>
        <v>0</v>
      </c>
      <c r="J23" s="450">
        <f t="shared" si="0"/>
        <v>0</v>
      </c>
    </row>
    <row r="24" spans="1:10" ht="15" customHeight="1" x14ac:dyDescent="0.2">
      <c r="A24" s="432" t="s">
        <v>210</v>
      </c>
      <c r="B24" s="448">
        <v>529</v>
      </c>
      <c r="C24" s="448">
        <v>357</v>
      </c>
      <c r="D24" s="449">
        <v>0.67485822306238186</v>
      </c>
      <c r="E24" s="449">
        <v>0.67963903204206</v>
      </c>
      <c r="F24" s="448">
        <v>359.52904795024972</v>
      </c>
      <c r="G24" s="449">
        <v>0.68512655222765939</v>
      </c>
      <c r="H24" s="448">
        <v>362.43194612843183</v>
      </c>
      <c r="I24" s="448">
        <f t="shared" si="2"/>
        <v>0</v>
      </c>
      <c r="J24" s="450">
        <f t="shared" si="0"/>
        <v>0</v>
      </c>
    </row>
    <row r="25" spans="1:10" ht="15" customHeight="1" x14ac:dyDescent="0.2">
      <c r="A25" s="432" t="s">
        <v>211</v>
      </c>
      <c r="B25" s="448">
        <v>432</v>
      </c>
      <c r="C25" s="448">
        <v>294</v>
      </c>
      <c r="D25" s="449">
        <v>0.68055555555555558</v>
      </c>
      <c r="E25" s="449">
        <v>0.67533554266453932</v>
      </c>
      <c r="F25" s="448">
        <v>291.744954431081</v>
      </c>
      <c r="G25" s="449">
        <v>0.67870284711818629</v>
      </c>
      <c r="H25" s="448">
        <v>293.19962995505648</v>
      </c>
      <c r="I25" s="448">
        <f t="shared" si="2"/>
        <v>1</v>
      </c>
      <c r="J25" s="450">
        <f t="shared" si="0"/>
        <v>10000</v>
      </c>
    </row>
    <row r="26" spans="1:10" ht="15" customHeight="1" x14ac:dyDescent="0.2">
      <c r="A26" s="432" t="s">
        <v>212</v>
      </c>
      <c r="B26" s="448">
        <v>107</v>
      </c>
      <c r="C26" s="448">
        <v>74</v>
      </c>
      <c r="D26" s="449">
        <v>0.69158878504672894</v>
      </c>
      <c r="E26" s="449">
        <v>0.66699202821116732</v>
      </c>
      <c r="F26" s="448">
        <v>71.368147018594897</v>
      </c>
      <c r="G26" s="449">
        <v>0.67100450987203464</v>
      </c>
      <c r="H26" s="448">
        <v>71.797482556307713</v>
      </c>
      <c r="I26" s="448">
        <f t="shared" si="2"/>
        <v>2</v>
      </c>
      <c r="J26" s="450">
        <f t="shared" si="0"/>
        <v>20000</v>
      </c>
    </row>
    <row r="27" spans="1:10" ht="15" customHeight="1" x14ac:dyDescent="0.2">
      <c r="A27" s="432" t="s">
        <v>213</v>
      </c>
      <c r="B27" s="448">
        <v>241</v>
      </c>
      <c r="C27" s="448">
        <v>172</v>
      </c>
      <c r="D27" s="449">
        <v>0.7136929460580913</v>
      </c>
      <c r="E27" s="449">
        <v>0.70720878532615816</v>
      </c>
      <c r="F27" s="448">
        <v>170.43731726360411</v>
      </c>
      <c r="G27" s="449">
        <v>0.71253118699272089</v>
      </c>
      <c r="H27" s="448">
        <v>171.72001606524574</v>
      </c>
      <c r="I27" s="448">
        <f t="shared" si="2"/>
        <v>0</v>
      </c>
      <c r="J27" s="450">
        <f t="shared" si="0"/>
        <v>0</v>
      </c>
    </row>
    <row r="28" spans="1:10" ht="15" customHeight="1" x14ac:dyDescent="0.2">
      <c r="A28" s="432" t="s">
        <v>214</v>
      </c>
      <c r="B28" s="448">
        <v>1000</v>
      </c>
      <c r="C28" s="448">
        <v>645</v>
      </c>
      <c r="D28" s="449">
        <v>0.64500000000000002</v>
      </c>
      <c r="E28" s="449">
        <v>0.64299585302198814</v>
      </c>
      <c r="F28" s="448">
        <v>642.99585302198818</v>
      </c>
      <c r="G28" s="449">
        <v>0.64616823214223673</v>
      </c>
      <c r="H28" s="448">
        <v>646.16823214223677</v>
      </c>
      <c r="I28" s="448">
        <f t="shared" si="2"/>
        <v>0</v>
      </c>
      <c r="J28" s="450">
        <f t="shared" si="0"/>
        <v>0</v>
      </c>
    </row>
    <row r="29" spans="1:10" ht="15" customHeight="1" x14ac:dyDescent="0.2">
      <c r="A29" s="432" t="s">
        <v>215</v>
      </c>
      <c r="B29" s="448">
        <v>368</v>
      </c>
      <c r="C29" s="448">
        <v>241</v>
      </c>
      <c r="D29" s="449">
        <v>0.65489130434782605</v>
      </c>
      <c r="E29" s="449">
        <v>0.63477400607608681</v>
      </c>
      <c r="F29" s="448">
        <v>233.59683423599995</v>
      </c>
      <c r="G29" s="449">
        <v>0.64091049956569457</v>
      </c>
      <c r="H29" s="448">
        <v>235.8550638401756</v>
      </c>
      <c r="I29" s="448">
        <f t="shared" si="2"/>
        <v>5</v>
      </c>
      <c r="J29" s="450">
        <f t="shared" si="0"/>
        <v>50000</v>
      </c>
    </row>
    <row r="30" spans="1:10" ht="15" customHeight="1" x14ac:dyDescent="0.2">
      <c r="A30" s="432" t="s">
        <v>216</v>
      </c>
      <c r="B30" s="448">
        <v>292</v>
      </c>
      <c r="C30" s="448">
        <v>181</v>
      </c>
      <c r="D30" s="449">
        <v>0.61986301369863017</v>
      </c>
      <c r="E30" s="449">
        <v>0.62562246581639402</v>
      </c>
      <c r="F30" s="448">
        <v>182.68176001838705</v>
      </c>
      <c r="G30" s="449">
        <v>0.63039620661328555</v>
      </c>
      <c r="H30" s="448">
        <v>184.07569233107938</v>
      </c>
      <c r="I30" s="448">
        <f t="shared" si="2"/>
        <v>0</v>
      </c>
      <c r="J30" s="450">
        <f t="shared" si="0"/>
        <v>0</v>
      </c>
    </row>
    <row r="31" spans="1:10" ht="15" customHeight="1" x14ac:dyDescent="0.2">
      <c r="A31" s="432" t="s">
        <v>36</v>
      </c>
      <c r="B31" s="448">
        <v>1253</v>
      </c>
      <c r="C31" s="448">
        <v>868</v>
      </c>
      <c r="D31" s="449">
        <v>0.69273743016759781</v>
      </c>
      <c r="E31" s="449">
        <v>0.6838208593230698</v>
      </c>
      <c r="F31" s="448">
        <v>856.8275367318065</v>
      </c>
      <c r="G31" s="449">
        <v>0.68717080233420336</v>
      </c>
      <c r="H31" s="448">
        <v>861.02501532475685</v>
      </c>
      <c r="I31" s="448">
        <f t="shared" si="2"/>
        <v>7</v>
      </c>
      <c r="J31" s="450">
        <f t="shared" si="0"/>
        <v>70000</v>
      </c>
    </row>
    <row r="32" spans="1:10" ht="15" customHeight="1" x14ac:dyDescent="0.2">
      <c r="A32" s="432" t="s">
        <v>136</v>
      </c>
      <c r="B32" s="448">
        <v>774</v>
      </c>
      <c r="C32" s="448">
        <v>526</v>
      </c>
      <c r="D32" s="449">
        <v>0.67958656330749356</v>
      </c>
      <c r="E32" s="449">
        <v>0.64356951965041453</v>
      </c>
      <c r="F32" s="448">
        <v>498.12280820942084</v>
      </c>
      <c r="G32" s="449">
        <v>0.64822223169562987</v>
      </c>
      <c r="H32" s="448">
        <v>501.7240073324175</v>
      </c>
      <c r="I32" s="448">
        <f t="shared" si="2"/>
        <v>24</v>
      </c>
      <c r="J32" s="450">
        <f t="shared" si="0"/>
        <v>240000</v>
      </c>
    </row>
    <row r="33" spans="1:14" ht="15" customHeight="1" x14ac:dyDescent="0.2">
      <c r="A33" s="432" t="s">
        <v>217</v>
      </c>
      <c r="B33" s="448">
        <v>2004</v>
      </c>
      <c r="C33" s="448">
        <v>1239</v>
      </c>
      <c r="D33" s="449">
        <v>0.61826347305389218</v>
      </c>
      <c r="E33" s="449">
        <v>0.65413781289533091</v>
      </c>
      <c r="F33" s="448">
        <v>1310.8921770422432</v>
      </c>
      <c r="G33" s="449">
        <v>0.65736639872919111</v>
      </c>
      <c r="H33" s="448">
        <v>1317.3622630532991</v>
      </c>
      <c r="I33" s="448">
        <f t="shared" si="2"/>
        <v>0</v>
      </c>
      <c r="J33" s="450">
        <f t="shared" si="0"/>
        <v>0</v>
      </c>
    </row>
    <row r="34" spans="1:14" ht="15" customHeight="1" x14ac:dyDescent="0.2">
      <c r="A34" s="432" t="s">
        <v>218</v>
      </c>
      <c r="B34" s="448">
        <v>1978</v>
      </c>
      <c r="C34" s="448">
        <v>1233</v>
      </c>
      <c r="D34" s="449">
        <v>0.62335692618806871</v>
      </c>
      <c r="E34" s="449">
        <v>0.64414980103390129</v>
      </c>
      <c r="F34" s="448">
        <v>1274.1283064450568</v>
      </c>
      <c r="G34" s="449">
        <v>0.648569088511739</v>
      </c>
      <c r="H34" s="448">
        <v>1282.8696570762197</v>
      </c>
      <c r="I34" s="448">
        <f t="shared" si="2"/>
        <v>0</v>
      </c>
      <c r="J34" s="450">
        <f t="shared" si="0"/>
        <v>0</v>
      </c>
    </row>
    <row r="35" spans="1:14" ht="15" customHeight="1" x14ac:dyDescent="0.2">
      <c r="A35" s="432" t="s">
        <v>70</v>
      </c>
      <c r="B35" s="448">
        <v>2580</v>
      </c>
      <c r="C35" s="448">
        <v>1608</v>
      </c>
      <c r="D35" s="449">
        <v>0.62325581395348839</v>
      </c>
      <c r="E35" s="449">
        <v>0.59480025713983331</v>
      </c>
      <c r="F35" s="448">
        <v>1534.5846634207699</v>
      </c>
      <c r="G35" s="449">
        <v>0.60044871138984979</v>
      </c>
      <c r="H35" s="448">
        <v>1549.1576753858124</v>
      </c>
      <c r="I35" s="448">
        <f t="shared" si="2"/>
        <v>59</v>
      </c>
      <c r="J35" s="450">
        <f t="shared" si="0"/>
        <v>590000</v>
      </c>
    </row>
    <row r="36" spans="1:14" ht="15" customHeight="1" x14ac:dyDescent="0.2">
      <c r="A36" s="432" t="s">
        <v>122</v>
      </c>
      <c r="B36" s="448">
        <v>1053</v>
      </c>
      <c r="C36" s="448">
        <v>691</v>
      </c>
      <c r="D36" s="449">
        <v>0.6562203228869895</v>
      </c>
      <c r="E36" s="449">
        <v>0.65750443142192416</v>
      </c>
      <c r="F36" s="448">
        <v>692.3521662872862</v>
      </c>
      <c r="G36" s="449">
        <v>0.66072692340685735</v>
      </c>
      <c r="H36" s="448">
        <v>695.74545034742084</v>
      </c>
      <c r="I36" s="448">
        <f t="shared" si="2"/>
        <v>0</v>
      </c>
      <c r="J36" s="450">
        <f t="shared" si="0"/>
        <v>0</v>
      </c>
    </row>
    <row r="37" spans="1:14" ht="15" customHeight="1" x14ac:dyDescent="0.2">
      <c r="A37" s="437" t="s">
        <v>219</v>
      </c>
      <c r="B37" s="451">
        <v>41493</v>
      </c>
      <c r="C37" s="451">
        <v>26789</v>
      </c>
      <c r="D37" s="452">
        <v>0.64562697322439933</v>
      </c>
      <c r="E37" s="452">
        <v>0.64283823606154078</v>
      </c>
      <c r="F37" s="451">
        <v>26673.286928901511</v>
      </c>
      <c r="G37" s="452">
        <v>0.6471441321813739</v>
      </c>
      <c r="H37" s="451">
        <v>26851.951476601746</v>
      </c>
      <c r="I37" s="451">
        <f>SUM(I6:I22,I28:I36)</f>
        <v>309</v>
      </c>
      <c r="J37" s="453">
        <f>SUM(J6:J22,J28:J36)</f>
        <v>3090000</v>
      </c>
    </row>
    <row r="38" spans="1:14" ht="15" customHeight="1" x14ac:dyDescent="0.2">
      <c r="A38" s="432" t="s">
        <v>220</v>
      </c>
      <c r="B38" s="448">
        <v>1584</v>
      </c>
      <c r="C38" s="448">
        <v>1333</v>
      </c>
      <c r="D38" s="449">
        <v>0.84154040404040409</v>
      </c>
      <c r="E38" s="449">
        <v>0.85128643200363663</v>
      </c>
      <c r="F38" s="448">
        <v>1348.4377082937604</v>
      </c>
      <c r="G38" s="449">
        <v>0.85624364811263409</v>
      </c>
      <c r="H38" s="448">
        <v>1356.2899386104125</v>
      </c>
      <c r="I38" s="448">
        <f t="shared" ref="I38:I44" si="3">IF(C38-H38&gt;0,ROUND(C38-H38,0),0)</f>
        <v>0</v>
      </c>
      <c r="J38" s="450">
        <f t="shared" ref="J38:J44" si="4">J$47*ROUND(I38,0)</f>
        <v>0</v>
      </c>
      <c r="M38" s="428"/>
      <c r="N38" s="428"/>
    </row>
    <row r="39" spans="1:14" ht="15" customHeight="1" x14ac:dyDescent="0.2">
      <c r="A39" s="432" t="s">
        <v>146</v>
      </c>
      <c r="B39" s="448">
        <v>2950</v>
      </c>
      <c r="C39" s="448">
        <v>2315</v>
      </c>
      <c r="D39" s="449">
        <v>0.78474576271186436</v>
      </c>
      <c r="E39" s="449">
        <v>0.82185686315760398</v>
      </c>
      <c r="F39" s="448">
        <v>2424.4777463149317</v>
      </c>
      <c r="G39" s="449">
        <v>0.8296599533006942</v>
      </c>
      <c r="H39" s="448">
        <v>2447.4968622370479</v>
      </c>
      <c r="I39" s="448">
        <f t="shared" si="3"/>
        <v>0</v>
      </c>
      <c r="J39" s="450">
        <f t="shared" si="4"/>
        <v>0</v>
      </c>
      <c r="M39" s="428"/>
      <c r="N39" s="428"/>
    </row>
    <row r="40" spans="1:14" ht="15" customHeight="1" x14ac:dyDescent="0.2">
      <c r="A40" s="432" t="s">
        <v>221</v>
      </c>
      <c r="B40" s="448">
        <v>4003</v>
      </c>
      <c r="C40" s="448">
        <v>3469</v>
      </c>
      <c r="D40" s="449">
        <v>0.86660004996252815</v>
      </c>
      <c r="E40" s="449">
        <v>0.87721562104545692</v>
      </c>
      <c r="F40" s="448">
        <v>3511.494131044964</v>
      </c>
      <c r="G40" s="449">
        <v>0.88354455694167333</v>
      </c>
      <c r="H40" s="448">
        <v>3536.8288614375183</v>
      </c>
      <c r="I40" s="448">
        <f t="shared" si="3"/>
        <v>0</v>
      </c>
      <c r="J40" s="450">
        <f t="shared" si="4"/>
        <v>0</v>
      </c>
      <c r="M40" s="428"/>
      <c r="N40" s="428"/>
    </row>
    <row r="41" spans="1:14" ht="15" customHeight="1" x14ac:dyDescent="0.2">
      <c r="A41" s="432" t="s">
        <v>222</v>
      </c>
      <c r="B41" s="448">
        <v>1511</v>
      </c>
      <c r="C41" s="448">
        <v>1290</v>
      </c>
      <c r="D41" s="449">
        <v>0.85373924553275982</v>
      </c>
      <c r="E41" s="449">
        <v>0.84824011067460792</v>
      </c>
      <c r="F41" s="448">
        <v>1281.6908072293324</v>
      </c>
      <c r="G41" s="449">
        <v>0.85330461417887105</v>
      </c>
      <c r="H41" s="448">
        <v>1289.3432720242743</v>
      </c>
      <c r="I41" s="448">
        <f t="shared" si="3"/>
        <v>1</v>
      </c>
      <c r="J41" s="450">
        <f t="shared" si="4"/>
        <v>10000</v>
      </c>
      <c r="M41" s="428"/>
      <c r="N41" s="428"/>
    </row>
    <row r="42" spans="1:14" ht="15" customHeight="1" x14ac:dyDescent="0.2">
      <c r="A42" s="432" t="s">
        <v>223</v>
      </c>
      <c r="B42" s="448">
        <v>3425</v>
      </c>
      <c r="C42" s="448">
        <v>2835</v>
      </c>
      <c r="D42" s="449">
        <v>0.82773722627737223</v>
      </c>
      <c r="E42" s="449">
        <v>0.8388442218721881</v>
      </c>
      <c r="F42" s="448">
        <v>2873.0414599122441</v>
      </c>
      <c r="G42" s="449">
        <v>0.84418796696515719</v>
      </c>
      <c r="H42" s="448">
        <v>2891.3437868556634</v>
      </c>
      <c r="I42" s="448">
        <f t="shared" si="3"/>
        <v>0</v>
      </c>
      <c r="J42" s="450">
        <f t="shared" si="4"/>
        <v>0</v>
      </c>
      <c r="M42" s="428"/>
      <c r="N42" s="428"/>
    </row>
    <row r="43" spans="1:14" ht="15" customHeight="1" x14ac:dyDescent="0.2">
      <c r="A43" s="432" t="s">
        <v>224</v>
      </c>
      <c r="B43" s="448">
        <v>858</v>
      </c>
      <c r="C43" s="448">
        <v>716</v>
      </c>
      <c r="D43" s="449">
        <v>0.83449883449883455</v>
      </c>
      <c r="E43" s="449">
        <v>0.81433711954106791</v>
      </c>
      <c r="F43" s="448">
        <v>698.70124856623625</v>
      </c>
      <c r="G43" s="449">
        <v>0.81902298548280528</v>
      </c>
      <c r="H43" s="448">
        <v>702.72172154424698</v>
      </c>
      <c r="I43" s="448">
        <f t="shared" si="3"/>
        <v>13</v>
      </c>
      <c r="J43" s="450">
        <f t="shared" si="4"/>
        <v>130000</v>
      </c>
      <c r="M43" s="428"/>
      <c r="N43" s="428"/>
    </row>
    <row r="44" spans="1:14" ht="15" customHeight="1" x14ac:dyDescent="0.2">
      <c r="A44" s="432" t="s">
        <v>225</v>
      </c>
      <c r="B44" s="448">
        <v>2379</v>
      </c>
      <c r="C44" s="448">
        <v>2154</v>
      </c>
      <c r="D44" s="449">
        <v>0.90542244640605296</v>
      </c>
      <c r="E44" s="449">
        <v>0.91062418789462229</v>
      </c>
      <c r="F44" s="448">
        <v>2166.3749430013063</v>
      </c>
      <c r="G44" s="449">
        <v>0.91548488115611126</v>
      </c>
      <c r="H44" s="448">
        <v>2177.9385322703888</v>
      </c>
      <c r="I44" s="448">
        <f t="shared" si="3"/>
        <v>0</v>
      </c>
      <c r="J44" s="450">
        <f t="shared" si="4"/>
        <v>0</v>
      </c>
      <c r="M44" s="428"/>
      <c r="N44" s="428"/>
    </row>
    <row r="45" spans="1:14" ht="15" customHeight="1" x14ac:dyDescent="0.2">
      <c r="A45" s="437" t="s">
        <v>226</v>
      </c>
      <c r="B45" s="451">
        <v>16710</v>
      </c>
      <c r="C45" s="451">
        <v>14112</v>
      </c>
      <c r="D45" s="452">
        <v>0.84452423698384205</v>
      </c>
      <c r="E45" s="452">
        <v>0.856027411392147</v>
      </c>
      <c r="F45" s="451">
        <v>14304.218044362777</v>
      </c>
      <c r="G45" s="452">
        <v>0.86187689856251071</v>
      </c>
      <c r="H45" s="451">
        <v>14401.962974979553</v>
      </c>
      <c r="I45" s="451">
        <f>SUM(I38:I44)</f>
        <v>14</v>
      </c>
      <c r="J45" s="453">
        <f>SUM(J38:J44)</f>
        <v>140000</v>
      </c>
    </row>
    <row r="46" spans="1:14" ht="15" customHeight="1" x14ac:dyDescent="0.2">
      <c r="A46" s="441" t="s">
        <v>227</v>
      </c>
      <c r="B46" s="454">
        <v>58203</v>
      </c>
      <c r="C46" s="454">
        <v>40901</v>
      </c>
      <c r="D46" s="442">
        <v>0.70273009982303314</v>
      </c>
      <c r="E46" s="442">
        <v>0.70404455050881032</v>
      </c>
      <c r="F46" s="454">
        <v>40977.504973264287</v>
      </c>
      <c r="G46" s="442">
        <v>0.70879360946310832</v>
      </c>
      <c r="H46" s="454">
        <v>41253.914451581295</v>
      </c>
      <c r="I46" s="454">
        <f>I37+I45</f>
        <v>323</v>
      </c>
      <c r="J46" s="455">
        <f>J37+J45</f>
        <v>3230000</v>
      </c>
    </row>
    <row r="47" spans="1:14" ht="15" customHeight="1" x14ac:dyDescent="0.2">
      <c r="A47" s="456" t="s">
        <v>312</v>
      </c>
      <c r="B47" s="457"/>
      <c r="C47" s="457"/>
      <c r="D47" s="458"/>
      <c r="E47" s="458"/>
      <c r="F47" s="457"/>
      <c r="G47" s="458"/>
      <c r="H47" s="457"/>
      <c r="I47" s="457"/>
      <c r="J47" s="459">
        <v>10000</v>
      </c>
    </row>
  </sheetData>
  <mergeCells count="3">
    <mergeCell ref="A1:J1"/>
    <mergeCell ref="A2:J2"/>
    <mergeCell ref="A3:J3"/>
  </mergeCells>
  <printOptions horizontalCentered="1"/>
  <pageMargins left="0.1" right="0.1" top="0.5" bottom="0.5" header="0" footer="0.3"/>
  <pageSetup scale="90" orientation="portrait" r:id="rId1"/>
  <headerFooter>
    <oddFooter>&amp;LSource: System Office Research - Academic and Student Affairs   
&amp;Z&amp;F&amp;A
February 5,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1" ySplit="5" topLeftCell="B36" activePane="bottomRight" state="frozen"/>
      <selection activeCell="C7" sqref="C7"/>
      <selection pane="topRight" activeCell="C7" sqref="C7"/>
      <selection pane="bottomLeft" activeCell="C7" sqref="C7"/>
      <selection pane="bottomRight" activeCell="F5" sqref="F5"/>
    </sheetView>
  </sheetViews>
  <sheetFormatPr defaultRowHeight="15" customHeight="1" x14ac:dyDescent="0.2"/>
  <cols>
    <col min="1" max="1" width="40.28515625" style="427" customWidth="1"/>
    <col min="2" max="4" width="5.7109375" style="427" bestFit="1" customWidth="1"/>
    <col min="5" max="5" width="9.5703125" style="427" bestFit="1" customWidth="1"/>
    <col min="6" max="6" width="11.42578125" style="427" bestFit="1" customWidth="1"/>
    <col min="7" max="7" width="12.28515625" style="427" bestFit="1" customWidth="1"/>
    <col min="8" max="8" width="11" style="427" customWidth="1"/>
    <col min="9" max="16384" width="9.140625" style="427"/>
  </cols>
  <sheetData>
    <row r="1" spans="1:8" ht="15" customHeight="1" x14ac:dyDescent="0.2">
      <c r="A1" s="510" t="s">
        <v>228</v>
      </c>
      <c r="B1" s="510"/>
      <c r="C1" s="510"/>
      <c r="D1" s="510"/>
      <c r="E1" s="510"/>
      <c r="F1" s="510"/>
      <c r="G1" s="510"/>
      <c r="H1" s="510"/>
    </row>
    <row r="2" spans="1:8" ht="15" customHeight="1" x14ac:dyDescent="0.2">
      <c r="A2" s="510" t="s">
        <v>72</v>
      </c>
      <c r="B2" s="510"/>
      <c r="C2" s="510"/>
      <c r="D2" s="510"/>
      <c r="E2" s="510"/>
      <c r="F2" s="510"/>
      <c r="G2" s="510"/>
      <c r="H2" s="510"/>
    </row>
    <row r="3" spans="1:8" ht="15" customHeight="1" x14ac:dyDescent="0.2">
      <c r="A3" s="510" t="s">
        <v>313</v>
      </c>
      <c r="B3" s="510"/>
      <c r="C3" s="510"/>
      <c r="D3" s="510"/>
      <c r="E3" s="510"/>
      <c r="F3" s="510"/>
      <c r="G3" s="510"/>
      <c r="H3" s="510"/>
    </row>
    <row r="4" spans="1:8" ht="15" customHeight="1" x14ac:dyDescent="0.2">
      <c r="B4" s="511"/>
      <c r="C4" s="511"/>
      <c r="D4" s="511"/>
      <c r="E4" s="305" t="s">
        <v>229</v>
      </c>
      <c r="F4" s="460">
        <v>2016</v>
      </c>
      <c r="G4" s="461" t="s">
        <v>230</v>
      </c>
      <c r="H4" s="485" t="s">
        <v>325</v>
      </c>
    </row>
    <row r="5" spans="1:8" x14ac:dyDescent="0.25">
      <c r="A5" s="306" t="s">
        <v>231</v>
      </c>
      <c r="B5" s="307">
        <v>2014</v>
      </c>
      <c r="C5" s="307">
        <v>2015</v>
      </c>
      <c r="D5" s="307">
        <v>2016</v>
      </c>
      <c r="E5" s="308" t="s">
        <v>336</v>
      </c>
      <c r="F5" s="462" t="s">
        <v>232</v>
      </c>
      <c r="G5" s="308" t="s">
        <v>233</v>
      </c>
      <c r="H5" s="306" t="s">
        <v>200</v>
      </c>
    </row>
    <row r="6" spans="1:8" ht="15" customHeight="1" x14ac:dyDescent="0.2">
      <c r="A6" s="463" t="s">
        <v>201</v>
      </c>
      <c r="B6" s="464">
        <v>0.55696202531645567</v>
      </c>
      <c r="C6" s="464">
        <v>0.6097560975609756</v>
      </c>
      <c r="D6" s="464">
        <v>0.57692307692307687</v>
      </c>
      <c r="E6" s="464">
        <f>D6-B6</f>
        <v>1.9961051606621205E-2</v>
      </c>
      <c r="F6" s="465">
        <v>80</v>
      </c>
      <c r="G6" s="433">
        <f>IF(E6&gt;0.005,ROUND((E6-0.005)*F6,0),0)</f>
        <v>1</v>
      </c>
      <c r="H6" s="434">
        <f t="shared" ref="H6:H21" si="0">G6*H$47</f>
        <v>4000</v>
      </c>
    </row>
    <row r="7" spans="1:8" ht="15" customHeight="1" x14ac:dyDescent="0.2">
      <c r="A7" s="309" t="s">
        <v>202</v>
      </c>
      <c r="B7" s="466">
        <v>0.61849710982658956</v>
      </c>
      <c r="C7" s="466">
        <v>0.56402877697841725</v>
      </c>
      <c r="D7" s="466">
        <v>0.57634730538922152</v>
      </c>
      <c r="E7" s="466">
        <f t="shared" ref="E7:E46" si="1">D7-B7</f>
        <v>-4.2149804437368044E-2</v>
      </c>
      <c r="F7" s="465">
        <v>695</v>
      </c>
      <c r="G7" s="432">
        <f t="shared" ref="G7:G44" si="2">IF(E7&gt;0.005,ROUND((E7-0.005)*F7,0),0)</f>
        <v>0</v>
      </c>
      <c r="H7" s="436">
        <f t="shared" si="0"/>
        <v>0</v>
      </c>
    </row>
    <row r="8" spans="1:8" ht="15" customHeight="1" x14ac:dyDescent="0.2">
      <c r="A8" s="309" t="s">
        <v>203</v>
      </c>
      <c r="B8" s="466">
        <v>0.51658767772511849</v>
      </c>
      <c r="C8" s="466">
        <v>0.56862745098039214</v>
      </c>
      <c r="D8" s="466">
        <v>0.54807692307692313</v>
      </c>
      <c r="E8" s="466">
        <f t="shared" si="1"/>
        <v>3.148924535180464E-2</v>
      </c>
      <c r="F8" s="465">
        <v>204</v>
      </c>
      <c r="G8" s="432">
        <f t="shared" si="2"/>
        <v>5</v>
      </c>
      <c r="H8" s="436">
        <f t="shared" si="0"/>
        <v>20000</v>
      </c>
    </row>
    <row r="9" spans="1:8" ht="15" customHeight="1" x14ac:dyDescent="0.2">
      <c r="A9" s="309" t="s">
        <v>7</v>
      </c>
      <c r="B9" s="466">
        <v>0.49704142011834318</v>
      </c>
      <c r="C9" s="466">
        <v>0.52406417112299464</v>
      </c>
      <c r="D9" s="466">
        <v>0.56441717791411039</v>
      </c>
      <c r="E9" s="466">
        <f t="shared" si="1"/>
        <v>6.737575779576721E-2</v>
      </c>
      <c r="F9" s="465">
        <v>188</v>
      </c>
      <c r="G9" s="432">
        <f t="shared" si="2"/>
        <v>12</v>
      </c>
      <c r="H9" s="436">
        <f t="shared" si="0"/>
        <v>48000</v>
      </c>
    </row>
    <row r="10" spans="1:8" ht="15" customHeight="1" x14ac:dyDescent="0.2">
      <c r="A10" s="309" t="s">
        <v>9</v>
      </c>
      <c r="B10" s="466">
        <v>0.5862745098039216</v>
      </c>
      <c r="C10" s="466">
        <v>0.60685630926331147</v>
      </c>
      <c r="D10" s="466">
        <v>0.61887072808320953</v>
      </c>
      <c r="E10" s="466">
        <f t="shared" si="1"/>
        <v>3.2596218279287936E-2</v>
      </c>
      <c r="F10" s="465">
        <v>1369</v>
      </c>
      <c r="G10" s="432">
        <f t="shared" si="2"/>
        <v>38</v>
      </c>
      <c r="H10" s="436">
        <f t="shared" si="0"/>
        <v>152000</v>
      </c>
    </row>
    <row r="11" spans="1:8" ht="15" customHeight="1" x14ac:dyDescent="0.2">
      <c r="A11" s="309" t="s">
        <v>204</v>
      </c>
      <c r="B11" s="466">
        <v>0.56537102473498235</v>
      </c>
      <c r="C11" s="466">
        <v>0.609375</v>
      </c>
      <c r="D11" s="466">
        <v>0.67105263157894735</v>
      </c>
      <c r="E11" s="466">
        <f t="shared" si="1"/>
        <v>0.10568160684396499</v>
      </c>
      <c r="F11" s="465">
        <v>319</v>
      </c>
      <c r="G11" s="432">
        <f t="shared" si="2"/>
        <v>32</v>
      </c>
      <c r="H11" s="436">
        <f t="shared" si="0"/>
        <v>128000</v>
      </c>
    </row>
    <row r="12" spans="1:8" ht="15" customHeight="1" x14ac:dyDescent="0.2">
      <c r="A12" s="309" t="s">
        <v>234</v>
      </c>
      <c r="B12" s="466">
        <v>0.63291139240506333</v>
      </c>
      <c r="C12" s="466">
        <v>0.58125000000000004</v>
      </c>
      <c r="D12" s="466">
        <v>0.48901098901098899</v>
      </c>
      <c r="E12" s="466">
        <f t="shared" si="1"/>
        <v>-0.14390040339407434</v>
      </c>
      <c r="F12" s="465">
        <v>161</v>
      </c>
      <c r="G12" s="432">
        <f t="shared" si="2"/>
        <v>0</v>
      </c>
      <c r="H12" s="436">
        <f t="shared" si="0"/>
        <v>0</v>
      </c>
    </row>
    <row r="13" spans="1:8" ht="15" customHeight="1" x14ac:dyDescent="0.2">
      <c r="A13" s="309" t="s">
        <v>145</v>
      </c>
      <c r="B13" s="466">
        <v>0.63176895306859204</v>
      </c>
      <c r="C13" s="466">
        <v>0.58513396715643906</v>
      </c>
      <c r="D13" s="466">
        <v>0.60496183206106868</v>
      </c>
      <c r="E13" s="466">
        <f t="shared" si="1"/>
        <v>-2.680712100752336E-2</v>
      </c>
      <c r="F13" s="465">
        <v>1154</v>
      </c>
      <c r="G13" s="432">
        <f t="shared" si="2"/>
        <v>0</v>
      </c>
      <c r="H13" s="436">
        <f t="shared" si="0"/>
        <v>0</v>
      </c>
    </row>
    <row r="14" spans="1:8" ht="15" customHeight="1" x14ac:dyDescent="0.2">
      <c r="A14" s="309" t="s">
        <v>205</v>
      </c>
      <c r="B14" s="466">
        <v>0.58243243243243248</v>
      </c>
      <c r="C14" s="466">
        <v>0.59589041095890416</v>
      </c>
      <c r="D14" s="466">
        <v>0.56617647058823528</v>
      </c>
      <c r="E14" s="466">
        <f t="shared" si="1"/>
        <v>-1.6255961844197198E-2</v>
      </c>
      <c r="F14" s="465">
        <v>726</v>
      </c>
      <c r="G14" s="432">
        <f t="shared" si="2"/>
        <v>0</v>
      </c>
      <c r="H14" s="436">
        <f t="shared" si="0"/>
        <v>0</v>
      </c>
    </row>
    <row r="15" spans="1:8" ht="15" customHeight="1" x14ac:dyDescent="0.2">
      <c r="A15" s="309" t="s">
        <v>17</v>
      </c>
      <c r="B15" s="466">
        <v>0.56201550387596899</v>
      </c>
      <c r="C15" s="466">
        <v>0.57291666666666663</v>
      </c>
      <c r="D15" s="466">
        <v>0.58333333333333337</v>
      </c>
      <c r="E15" s="466">
        <f t="shared" si="1"/>
        <v>2.1317829457364379E-2</v>
      </c>
      <c r="F15" s="465">
        <v>192</v>
      </c>
      <c r="G15" s="432">
        <f t="shared" si="2"/>
        <v>3</v>
      </c>
      <c r="H15" s="436">
        <f t="shared" si="0"/>
        <v>12000</v>
      </c>
    </row>
    <row r="16" spans="1:8" ht="15" customHeight="1" x14ac:dyDescent="0.2">
      <c r="A16" s="309" t="s">
        <v>206</v>
      </c>
      <c r="B16" s="466">
        <v>0.52420091324200913</v>
      </c>
      <c r="C16" s="466">
        <v>0.53198494825964249</v>
      </c>
      <c r="D16" s="466">
        <v>0.53170189098998888</v>
      </c>
      <c r="E16" s="466">
        <f t="shared" si="1"/>
        <v>7.5009777479797535E-3</v>
      </c>
      <c r="F16" s="465">
        <v>2125</v>
      </c>
      <c r="G16" s="432">
        <f t="shared" si="2"/>
        <v>5</v>
      </c>
      <c r="H16" s="436">
        <f t="shared" si="0"/>
        <v>20000</v>
      </c>
    </row>
    <row r="17" spans="1:8" ht="15" customHeight="1" x14ac:dyDescent="0.2">
      <c r="A17" s="309" t="s">
        <v>235</v>
      </c>
      <c r="B17" s="466">
        <v>0.62142857142857144</v>
      </c>
      <c r="C17" s="466">
        <v>0.5752212389380531</v>
      </c>
      <c r="D17" s="466">
        <v>0.64179104477611937</v>
      </c>
      <c r="E17" s="466">
        <f t="shared" si="1"/>
        <v>2.0362473347547927E-2</v>
      </c>
      <c r="F17" s="465">
        <v>113</v>
      </c>
      <c r="G17" s="432">
        <f t="shared" si="2"/>
        <v>2</v>
      </c>
      <c r="H17" s="436">
        <f t="shared" si="0"/>
        <v>8000</v>
      </c>
    </row>
    <row r="18" spans="1:8" ht="15" customHeight="1" x14ac:dyDescent="0.2">
      <c r="A18" s="309" t="s">
        <v>208</v>
      </c>
      <c r="B18" s="466">
        <v>0.51502145922746778</v>
      </c>
      <c r="C18" s="466">
        <v>0.54598825831702547</v>
      </c>
      <c r="D18" s="466">
        <v>0.52046783625730997</v>
      </c>
      <c r="E18" s="466">
        <f t="shared" si="1"/>
        <v>5.4463770298421865E-3</v>
      </c>
      <c r="F18" s="465">
        <v>514</v>
      </c>
      <c r="G18" s="432">
        <f t="shared" si="2"/>
        <v>0</v>
      </c>
      <c r="H18" s="436">
        <f t="shared" si="0"/>
        <v>0</v>
      </c>
    </row>
    <row r="19" spans="1:8" ht="15" customHeight="1" x14ac:dyDescent="0.2">
      <c r="A19" s="474" t="s">
        <v>236</v>
      </c>
      <c r="B19" s="466">
        <v>0.63076923076923075</v>
      </c>
      <c r="C19" s="466">
        <v>0.60103626943005184</v>
      </c>
      <c r="D19" s="466">
        <v>0.71363636363636362</v>
      </c>
      <c r="E19" s="466">
        <f t="shared" si="1"/>
        <v>8.2867132867132876E-2</v>
      </c>
      <c r="F19" s="465">
        <v>192</v>
      </c>
      <c r="G19" s="432">
        <f t="shared" si="2"/>
        <v>15</v>
      </c>
      <c r="H19" s="436">
        <f t="shared" si="0"/>
        <v>60000</v>
      </c>
    </row>
    <row r="20" spans="1:8" ht="15" customHeight="1" x14ac:dyDescent="0.2">
      <c r="A20" s="309" t="s">
        <v>137</v>
      </c>
      <c r="B20" s="466">
        <v>0.61731044349070097</v>
      </c>
      <c r="C20" s="466">
        <v>0.62114845938375352</v>
      </c>
      <c r="D20" s="466">
        <v>0.60430586488492943</v>
      </c>
      <c r="E20" s="466">
        <f t="shared" si="1"/>
        <v>-1.3004578605771533E-2</v>
      </c>
      <c r="F20" s="465">
        <v>1425</v>
      </c>
      <c r="G20" s="432">
        <f t="shared" si="2"/>
        <v>0</v>
      </c>
      <c r="H20" s="436">
        <f t="shared" si="0"/>
        <v>0</v>
      </c>
    </row>
    <row r="21" spans="1:8" ht="15" customHeight="1" x14ac:dyDescent="0.2">
      <c r="A21" s="309" t="s">
        <v>138</v>
      </c>
      <c r="B21" s="466">
        <v>0.57751396648044695</v>
      </c>
      <c r="C21" s="466">
        <v>0.58345864661654134</v>
      </c>
      <c r="D21" s="466">
        <v>0.59699248120300752</v>
      </c>
      <c r="E21" s="466">
        <f t="shared" si="1"/>
        <v>1.9478514722560569E-2</v>
      </c>
      <c r="F21" s="465">
        <v>1320</v>
      </c>
      <c r="G21" s="432">
        <f t="shared" si="2"/>
        <v>19</v>
      </c>
      <c r="H21" s="436">
        <f t="shared" si="0"/>
        <v>76000</v>
      </c>
    </row>
    <row r="22" spans="1:8" ht="15" customHeight="1" x14ac:dyDescent="0.2">
      <c r="A22" s="467" t="s">
        <v>63</v>
      </c>
      <c r="B22" s="468">
        <v>0.62903225806451613</v>
      </c>
      <c r="C22" s="468">
        <v>0.65775401069518713</v>
      </c>
      <c r="D22" s="468">
        <v>0.61097256857855364</v>
      </c>
      <c r="E22" s="468">
        <f t="shared" si="1"/>
        <v>-1.8059689485962482E-2</v>
      </c>
      <c r="F22" s="469">
        <v>375</v>
      </c>
      <c r="G22" s="437">
        <f>SUM(G23:G27)</f>
        <v>13</v>
      </c>
      <c r="H22" s="438">
        <f>SUM(H23:H27)</f>
        <v>52000</v>
      </c>
    </row>
    <row r="23" spans="1:8" ht="15" customHeight="1" x14ac:dyDescent="0.2">
      <c r="A23" s="309" t="s">
        <v>305</v>
      </c>
      <c r="B23" s="466">
        <v>0.57857142857142863</v>
      </c>
      <c r="C23" s="466">
        <v>0.66249999999999998</v>
      </c>
      <c r="D23" s="466">
        <v>0.67045454545454541</v>
      </c>
      <c r="E23" s="466">
        <f t="shared" si="1"/>
        <v>9.1883116883116789E-2</v>
      </c>
      <c r="F23" s="465">
        <v>80</v>
      </c>
      <c r="G23" s="432">
        <f t="shared" si="2"/>
        <v>7</v>
      </c>
      <c r="H23" s="436">
        <f t="shared" ref="H23:H36" si="3">G23*H$47</f>
        <v>28000</v>
      </c>
    </row>
    <row r="24" spans="1:8" ht="15" customHeight="1" x14ac:dyDescent="0.2">
      <c r="A24" s="309" t="s">
        <v>306</v>
      </c>
      <c r="B24" s="466">
        <v>0.69523809523809521</v>
      </c>
      <c r="C24" s="466">
        <v>0.65573770491803274</v>
      </c>
      <c r="D24" s="466">
        <v>0.53846153846153844</v>
      </c>
      <c r="E24" s="466">
        <f t="shared" si="1"/>
        <v>-0.15677655677655677</v>
      </c>
      <c r="F24" s="465">
        <v>122</v>
      </c>
      <c r="G24" s="432">
        <f t="shared" si="2"/>
        <v>0</v>
      </c>
      <c r="H24" s="436">
        <f t="shared" si="3"/>
        <v>0</v>
      </c>
    </row>
    <row r="25" spans="1:8" ht="15" customHeight="1" x14ac:dyDescent="0.2">
      <c r="A25" s="309" t="s">
        <v>307</v>
      </c>
      <c r="B25" s="466">
        <v>0.5436893203883495</v>
      </c>
      <c r="C25" s="466">
        <v>0.58241758241758246</v>
      </c>
      <c r="D25" s="466">
        <v>0.61224489795918369</v>
      </c>
      <c r="E25" s="466">
        <f t="shared" si="1"/>
        <v>6.8555577570834192E-2</v>
      </c>
      <c r="F25" s="465">
        <v>91</v>
      </c>
      <c r="G25" s="432">
        <f t="shared" si="2"/>
        <v>6</v>
      </c>
      <c r="H25" s="436">
        <f t="shared" si="3"/>
        <v>24000</v>
      </c>
    </row>
    <row r="26" spans="1:8" ht="15" customHeight="1" x14ac:dyDescent="0.2">
      <c r="A26" s="309" t="s">
        <v>308</v>
      </c>
      <c r="B26" s="466">
        <v>0.68292682926829273</v>
      </c>
      <c r="C26" s="466">
        <v>0.8125</v>
      </c>
      <c r="D26" s="466">
        <v>0.65</v>
      </c>
      <c r="E26" s="466">
        <f t="shared" si="1"/>
        <v>-3.2926829268292712E-2</v>
      </c>
      <c r="F26" s="465">
        <v>32</v>
      </c>
      <c r="G26" s="432">
        <f t="shared" si="2"/>
        <v>0</v>
      </c>
      <c r="H26" s="436">
        <f t="shared" si="3"/>
        <v>0</v>
      </c>
    </row>
    <row r="27" spans="1:8" ht="15" customHeight="1" x14ac:dyDescent="0.2">
      <c r="A27" s="309" t="s">
        <v>309</v>
      </c>
      <c r="B27" s="466">
        <v>0.77777777777777779</v>
      </c>
      <c r="C27" s="466">
        <v>0.69387755102040816</v>
      </c>
      <c r="D27" s="466">
        <v>0.63793103448275867</v>
      </c>
      <c r="E27" s="466">
        <f t="shared" si="1"/>
        <v>-0.13984674329501912</v>
      </c>
      <c r="F27" s="465">
        <v>50</v>
      </c>
      <c r="G27" s="432">
        <f t="shared" si="2"/>
        <v>0</v>
      </c>
      <c r="H27" s="436">
        <f t="shared" si="3"/>
        <v>0</v>
      </c>
    </row>
    <row r="28" spans="1:8" ht="15" customHeight="1" x14ac:dyDescent="0.2">
      <c r="A28" s="309" t="s">
        <v>242</v>
      </c>
      <c r="B28" s="466">
        <v>0.609375</v>
      </c>
      <c r="C28" s="466">
        <v>0.58893280632411071</v>
      </c>
      <c r="D28" s="466">
        <v>0.54804270462633453</v>
      </c>
      <c r="E28" s="466">
        <f t="shared" si="1"/>
        <v>-6.1332295373665469E-2</v>
      </c>
      <c r="F28" s="465">
        <v>253</v>
      </c>
      <c r="G28" s="432">
        <f t="shared" si="2"/>
        <v>0</v>
      </c>
      <c r="H28" s="436">
        <f t="shared" si="3"/>
        <v>0</v>
      </c>
    </row>
    <row r="29" spans="1:8" ht="15" customHeight="1" x14ac:dyDescent="0.2">
      <c r="A29" s="309" t="s">
        <v>215</v>
      </c>
      <c r="B29" s="466">
        <v>0.49411764705882355</v>
      </c>
      <c r="C29" s="466">
        <v>0.39</v>
      </c>
      <c r="D29" s="466">
        <v>0.54054054054054057</v>
      </c>
      <c r="E29" s="466">
        <f t="shared" si="1"/>
        <v>4.642289348171702E-2</v>
      </c>
      <c r="F29" s="465">
        <v>98</v>
      </c>
      <c r="G29" s="432">
        <f t="shared" si="2"/>
        <v>4</v>
      </c>
      <c r="H29" s="436">
        <f t="shared" si="3"/>
        <v>16000</v>
      </c>
    </row>
    <row r="30" spans="1:8" ht="15" customHeight="1" x14ac:dyDescent="0.2">
      <c r="A30" s="309" t="s">
        <v>216</v>
      </c>
      <c r="B30" s="466">
        <v>0.703125</v>
      </c>
      <c r="C30" s="466">
        <v>0.65909090909090906</v>
      </c>
      <c r="D30" s="466">
        <v>0.58695652173913049</v>
      </c>
      <c r="E30" s="466">
        <f t="shared" si="1"/>
        <v>-0.11616847826086951</v>
      </c>
      <c r="F30" s="465">
        <v>46</v>
      </c>
      <c r="G30" s="432">
        <f t="shared" si="2"/>
        <v>0</v>
      </c>
      <c r="H30" s="436">
        <f t="shared" si="3"/>
        <v>0</v>
      </c>
    </row>
    <row r="31" spans="1:8" ht="15" customHeight="1" x14ac:dyDescent="0.2">
      <c r="A31" s="309" t="s">
        <v>36</v>
      </c>
      <c r="B31" s="466">
        <v>0.61176470588235299</v>
      </c>
      <c r="C31" s="466">
        <v>0.55696202531645567</v>
      </c>
      <c r="D31" s="466">
        <v>0.62149532710280375</v>
      </c>
      <c r="E31" s="466">
        <f t="shared" si="1"/>
        <v>9.7306212204507636E-3</v>
      </c>
      <c r="F31" s="465">
        <v>239</v>
      </c>
      <c r="G31" s="432">
        <f t="shared" si="2"/>
        <v>1</v>
      </c>
      <c r="H31" s="436">
        <f t="shared" si="3"/>
        <v>4000</v>
      </c>
    </row>
    <row r="32" spans="1:8" ht="15" customHeight="1" x14ac:dyDescent="0.2">
      <c r="A32" s="309" t="s">
        <v>136</v>
      </c>
      <c r="B32" s="466">
        <v>0.55833333333333335</v>
      </c>
      <c r="C32" s="466">
        <v>0.62085308056872035</v>
      </c>
      <c r="D32" s="466">
        <v>0.68055555555555558</v>
      </c>
      <c r="E32" s="466">
        <f t="shared" si="1"/>
        <v>0.12222222222222223</v>
      </c>
      <c r="F32" s="465">
        <v>213</v>
      </c>
      <c r="G32" s="432">
        <f t="shared" si="2"/>
        <v>25</v>
      </c>
      <c r="H32" s="436">
        <f t="shared" si="3"/>
        <v>100000</v>
      </c>
    </row>
    <row r="33" spans="1:8" ht="15" customHeight="1" x14ac:dyDescent="0.2">
      <c r="A33" s="309" t="s">
        <v>217</v>
      </c>
      <c r="B33" s="466">
        <v>0.56006768189509304</v>
      </c>
      <c r="C33" s="466">
        <v>0.53275862068965518</v>
      </c>
      <c r="D33" s="466">
        <v>0.55574912891986061</v>
      </c>
      <c r="E33" s="466">
        <f t="shared" si="1"/>
        <v>-4.3185529752324259E-3</v>
      </c>
      <c r="F33" s="465">
        <v>578</v>
      </c>
      <c r="G33" s="432">
        <f t="shared" si="2"/>
        <v>0</v>
      </c>
      <c r="H33" s="436">
        <f t="shared" si="3"/>
        <v>0</v>
      </c>
    </row>
    <row r="34" spans="1:8" ht="15" customHeight="1" x14ac:dyDescent="0.2">
      <c r="A34" s="309" t="s">
        <v>218</v>
      </c>
      <c r="B34" s="466">
        <v>0.53900709219858156</v>
      </c>
      <c r="C34" s="466">
        <v>0.56184486373165621</v>
      </c>
      <c r="D34" s="466">
        <v>0.51224489795918371</v>
      </c>
      <c r="E34" s="466">
        <f t="shared" si="1"/>
        <v>-2.6762194239397852E-2</v>
      </c>
      <c r="F34" s="465">
        <v>476</v>
      </c>
      <c r="G34" s="432">
        <f t="shared" si="2"/>
        <v>0</v>
      </c>
      <c r="H34" s="436">
        <f t="shared" si="3"/>
        <v>0</v>
      </c>
    </row>
    <row r="35" spans="1:8" ht="15" customHeight="1" x14ac:dyDescent="0.2">
      <c r="A35" s="309" t="s">
        <v>70</v>
      </c>
      <c r="B35" s="466">
        <v>0.49505928853754938</v>
      </c>
      <c r="C35" s="466">
        <v>0.55345572354211658</v>
      </c>
      <c r="D35" s="466">
        <v>0.59058402860548276</v>
      </c>
      <c r="E35" s="466">
        <f t="shared" si="1"/>
        <v>9.5524740067933378E-2</v>
      </c>
      <c r="F35" s="465">
        <v>1850</v>
      </c>
      <c r="G35" s="432">
        <f t="shared" si="2"/>
        <v>167</v>
      </c>
      <c r="H35" s="436">
        <f t="shared" si="3"/>
        <v>668000</v>
      </c>
    </row>
    <row r="36" spans="1:8" ht="15" customHeight="1" x14ac:dyDescent="0.2">
      <c r="A36" s="309" t="s">
        <v>122</v>
      </c>
      <c r="B36" s="466">
        <v>0.62328767123287676</v>
      </c>
      <c r="C36" s="466">
        <v>0.61363636363636365</v>
      </c>
      <c r="D36" s="466">
        <v>0.64214046822742477</v>
      </c>
      <c r="E36" s="466">
        <f t="shared" si="1"/>
        <v>1.8852796994548005E-2</v>
      </c>
      <c r="F36" s="465">
        <v>304</v>
      </c>
      <c r="G36" s="432">
        <f t="shared" si="2"/>
        <v>4</v>
      </c>
      <c r="H36" s="436">
        <f t="shared" si="3"/>
        <v>16000</v>
      </c>
    </row>
    <row r="37" spans="1:8" ht="15" customHeight="1" x14ac:dyDescent="0.2">
      <c r="A37" s="310" t="s">
        <v>219</v>
      </c>
      <c r="B37" s="468">
        <v>0.56863743397187039</v>
      </c>
      <c r="C37" s="468">
        <v>0.57558254020347888</v>
      </c>
      <c r="D37" s="468">
        <v>0.58450607064017657</v>
      </c>
      <c r="E37" s="468">
        <f t="shared" si="1"/>
        <v>1.586863666830618E-2</v>
      </c>
      <c r="F37" s="470">
        <v>15209</v>
      </c>
      <c r="G37" s="437">
        <f>SUM(G6:G22,G28:G36)</f>
        <v>346</v>
      </c>
      <c r="H37" s="435">
        <f>SUM(H6:H22,H28:H36)</f>
        <v>1384000</v>
      </c>
    </row>
    <row r="38" spans="1:8" ht="15" customHeight="1" x14ac:dyDescent="0.2">
      <c r="A38" s="309" t="s">
        <v>220</v>
      </c>
      <c r="B38" s="466">
        <v>0.7595628415300546</v>
      </c>
      <c r="C38" s="466">
        <v>0.78172588832487311</v>
      </c>
      <c r="D38" s="466">
        <v>0.76767676767676762</v>
      </c>
      <c r="E38" s="466">
        <f t="shared" si="1"/>
        <v>8.1139261467130241E-3</v>
      </c>
      <c r="F38" s="465">
        <v>196</v>
      </c>
      <c r="G38" s="432">
        <f t="shared" si="2"/>
        <v>1</v>
      </c>
      <c r="H38" s="436">
        <f t="shared" ref="H38:H45" si="4">G38*H$47</f>
        <v>4000</v>
      </c>
    </row>
    <row r="39" spans="1:8" ht="15" customHeight="1" x14ac:dyDescent="0.2">
      <c r="A39" s="309" t="s">
        <v>146</v>
      </c>
      <c r="B39" s="466">
        <v>0.79079497907949792</v>
      </c>
      <c r="C39" s="466">
        <v>0.78200972447325767</v>
      </c>
      <c r="D39" s="466">
        <v>0.77706495589414593</v>
      </c>
      <c r="E39" s="466">
        <f t="shared" si="1"/>
        <v>-1.3730023185351992E-2</v>
      </c>
      <c r="F39" s="465">
        <v>1232</v>
      </c>
      <c r="G39" s="432">
        <f t="shared" si="2"/>
        <v>0</v>
      </c>
      <c r="H39" s="436">
        <f t="shared" si="4"/>
        <v>0</v>
      </c>
    </row>
    <row r="40" spans="1:8" ht="15" customHeight="1" x14ac:dyDescent="0.2">
      <c r="A40" s="309" t="s">
        <v>221</v>
      </c>
      <c r="B40" s="466">
        <v>0.78910614525139666</v>
      </c>
      <c r="C40" s="466">
        <v>0.82442748091603058</v>
      </c>
      <c r="D40" s="466">
        <v>0.79644808743169404</v>
      </c>
      <c r="E40" s="466">
        <f t="shared" si="1"/>
        <v>7.3419421802973783E-3</v>
      </c>
      <c r="F40" s="465">
        <v>654</v>
      </c>
      <c r="G40" s="432">
        <f t="shared" si="2"/>
        <v>2</v>
      </c>
      <c r="H40" s="436">
        <f t="shared" si="4"/>
        <v>8000</v>
      </c>
    </row>
    <row r="41" spans="1:8" ht="15" customHeight="1" x14ac:dyDescent="0.2">
      <c r="A41" s="309" t="s">
        <v>222</v>
      </c>
      <c r="B41" s="466">
        <v>0.72765957446808516</v>
      </c>
      <c r="C41" s="466">
        <v>0.72916666666666663</v>
      </c>
      <c r="D41" s="466">
        <v>0.73821989528795806</v>
      </c>
      <c r="E41" s="466">
        <f t="shared" si="1"/>
        <v>1.0560320819872904E-2</v>
      </c>
      <c r="F41" s="465">
        <v>188</v>
      </c>
      <c r="G41" s="432">
        <f t="shared" si="2"/>
        <v>1</v>
      </c>
      <c r="H41" s="436">
        <f t="shared" si="4"/>
        <v>4000</v>
      </c>
    </row>
    <row r="42" spans="1:8" ht="15" customHeight="1" x14ac:dyDescent="0.2">
      <c r="A42" s="309" t="s">
        <v>223</v>
      </c>
      <c r="B42" s="466">
        <v>0.79058441558441561</v>
      </c>
      <c r="C42" s="466">
        <v>0.82758620689655171</v>
      </c>
      <c r="D42" s="466">
        <v>0.77950713359273671</v>
      </c>
      <c r="E42" s="466">
        <f t="shared" si="1"/>
        <v>-1.10772819916789E-2</v>
      </c>
      <c r="F42" s="465">
        <v>695</v>
      </c>
      <c r="G42" s="432">
        <f t="shared" si="2"/>
        <v>0</v>
      </c>
      <c r="H42" s="436">
        <f t="shared" si="4"/>
        <v>0</v>
      </c>
    </row>
    <row r="43" spans="1:8" ht="15" customHeight="1" x14ac:dyDescent="0.2">
      <c r="A43" s="309" t="s">
        <v>224</v>
      </c>
      <c r="B43" s="466">
        <v>0.77027027027027029</v>
      </c>
      <c r="C43" s="466">
        <v>0.75652173913043474</v>
      </c>
      <c r="D43" s="466">
        <v>0.75714285714285712</v>
      </c>
      <c r="E43" s="466">
        <f t="shared" si="1"/>
        <v>-1.3127413127413168E-2</v>
      </c>
      <c r="F43" s="465">
        <v>116</v>
      </c>
      <c r="G43" s="432">
        <f t="shared" si="2"/>
        <v>0</v>
      </c>
      <c r="H43" s="436">
        <f t="shared" si="4"/>
        <v>0</v>
      </c>
    </row>
    <row r="44" spans="1:8" ht="15" customHeight="1" x14ac:dyDescent="0.2">
      <c r="A44" s="309" t="s">
        <v>225</v>
      </c>
      <c r="B44" s="466">
        <v>0.86693548387096775</v>
      </c>
      <c r="C44" s="466">
        <v>0.86988847583643125</v>
      </c>
      <c r="D44" s="466">
        <v>0.84918032786885245</v>
      </c>
      <c r="E44" s="466">
        <f t="shared" si="1"/>
        <v>-1.7755156002115302E-2</v>
      </c>
      <c r="F44" s="465">
        <v>268</v>
      </c>
      <c r="G44" s="432">
        <f t="shared" si="2"/>
        <v>0</v>
      </c>
      <c r="H44" s="436">
        <f t="shared" si="4"/>
        <v>0</v>
      </c>
    </row>
    <row r="45" spans="1:8" ht="15" customHeight="1" x14ac:dyDescent="0.2">
      <c r="A45" s="310" t="s">
        <v>226</v>
      </c>
      <c r="B45" s="468">
        <v>0.78898533373241542</v>
      </c>
      <c r="C45" s="468">
        <v>0.80285884455032752</v>
      </c>
      <c r="D45" s="468">
        <v>0.7843191964285714</v>
      </c>
      <c r="E45" s="468">
        <f t="shared" si="1"/>
        <v>-4.6661373038440201E-3</v>
      </c>
      <c r="F45" s="469">
        <v>3349</v>
      </c>
      <c r="G45" s="437">
        <f>SUM(G38:G44)</f>
        <v>4</v>
      </c>
      <c r="H45" s="439">
        <f t="shared" si="4"/>
        <v>16000</v>
      </c>
    </row>
    <row r="46" spans="1:8" ht="15" customHeight="1" x14ac:dyDescent="0.2">
      <c r="A46" s="311" t="s">
        <v>227</v>
      </c>
      <c r="B46" s="471">
        <v>0.6072740631888317</v>
      </c>
      <c r="C46" s="471">
        <v>0.61662991448394555</v>
      </c>
      <c r="D46" s="471">
        <v>0.62411504424778763</v>
      </c>
      <c r="E46" s="471">
        <f t="shared" si="1"/>
        <v>1.6840981058955928E-2</v>
      </c>
      <c r="F46" s="472">
        <v>18558</v>
      </c>
      <c r="G46" s="441">
        <f>G37+G45</f>
        <v>350</v>
      </c>
      <c r="H46" s="440">
        <f>H37+H45</f>
        <v>1400000</v>
      </c>
    </row>
    <row r="47" spans="1:8" ht="15" customHeight="1" x14ac:dyDescent="0.2">
      <c r="A47" s="456" t="s">
        <v>312</v>
      </c>
      <c r="B47" s="473"/>
      <c r="C47" s="473"/>
      <c r="D47" s="473"/>
      <c r="E47" s="473"/>
      <c r="F47" s="473"/>
      <c r="G47" s="473"/>
      <c r="H47" s="459">
        <v>4000</v>
      </c>
    </row>
  </sheetData>
  <mergeCells count="4">
    <mergeCell ref="A1:H1"/>
    <mergeCell ref="A2:H2"/>
    <mergeCell ref="A3:H3"/>
    <mergeCell ref="B4:D4"/>
  </mergeCells>
  <printOptions horizontalCentered="1"/>
  <pageMargins left="0.2" right="0.2" top="0.5" bottom="0.5" header="0" footer="0.3"/>
  <pageSetup scale="95" orientation="portrait" r:id="rId1"/>
  <headerFooter>
    <oddFooter>&amp;LSource: System Office Research - Academic and Student Affairs   
&amp;Z&amp;F&amp;A
February 5,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66"/>
    <pageSetUpPr fitToPage="1"/>
  </sheetPr>
  <dimension ref="A1:L44"/>
  <sheetViews>
    <sheetView topLeftCell="A13" zoomScale="80" workbookViewId="0">
      <selection activeCell="A43" sqref="A43"/>
    </sheetView>
  </sheetViews>
  <sheetFormatPr defaultRowHeight="15" customHeight="1" x14ac:dyDescent="0.2"/>
  <cols>
    <col min="1" max="1" width="6.85546875" customWidth="1"/>
    <col min="2" max="2" width="33.5703125" customWidth="1"/>
    <col min="3" max="3" width="16.7109375" customWidth="1"/>
    <col min="4" max="4" width="17.42578125" customWidth="1"/>
    <col min="5" max="5" width="13.140625" customWidth="1"/>
    <col min="6" max="6" width="13.5703125" customWidth="1"/>
    <col min="7" max="7" width="2.7109375" customWidth="1"/>
    <col min="8" max="8" width="21.42578125" style="11" customWidth="1"/>
    <col min="10" max="10" width="0" hidden="1" customWidth="1"/>
    <col min="11" max="11" width="14.5703125" hidden="1" customWidth="1"/>
    <col min="12" max="12" width="0" hidden="1" customWidth="1"/>
  </cols>
  <sheetData>
    <row r="1" spans="1:12" ht="15" customHeight="1" x14ac:dyDescent="0.25">
      <c r="A1" s="36" t="s">
        <v>267</v>
      </c>
      <c r="H1" s="487" t="s">
        <v>326</v>
      </c>
    </row>
    <row r="2" spans="1:12" ht="15" customHeight="1" x14ac:dyDescent="0.2">
      <c r="A2" s="4" t="s">
        <v>95</v>
      </c>
    </row>
    <row r="3" spans="1:12" ht="15" customHeight="1" x14ac:dyDescent="0.2">
      <c r="A3" s="4" t="s">
        <v>315</v>
      </c>
    </row>
    <row r="5" spans="1:12" ht="15" customHeight="1" x14ac:dyDescent="0.2">
      <c r="H5" s="206" t="s">
        <v>151</v>
      </c>
    </row>
    <row r="6" spans="1:12" ht="15" customHeight="1" x14ac:dyDescent="0.2">
      <c r="C6" s="206" t="s">
        <v>81</v>
      </c>
      <c r="D6" s="206" t="s">
        <v>74</v>
      </c>
      <c r="E6" s="206" t="s">
        <v>75</v>
      </c>
      <c r="F6" s="206" t="s">
        <v>76</v>
      </c>
      <c r="G6" s="206"/>
      <c r="H6" s="32" t="s">
        <v>77</v>
      </c>
    </row>
    <row r="7" spans="1:12" ht="61.5" customHeight="1" x14ac:dyDescent="0.2">
      <c r="A7" s="218" t="s">
        <v>0</v>
      </c>
      <c r="B7" s="219" t="s">
        <v>85</v>
      </c>
      <c r="C7" s="218" t="s">
        <v>152</v>
      </c>
      <c r="D7" s="31" t="s">
        <v>153</v>
      </c>
      <c r="E7" s="33" t="s">
        <v>97</v>
      </c>
      <c r="F7" s="220" t="s">
        <v>124</v>
      </c>
      <c r="H7" s="30" t="s">
        <v>96</v>
      </c>
    </row>
    <row r="8" spans="1:12" ht="15" customHeight="1" x14ac:dyDescent="0.2">
      <c r="B8" s="34"/>
      <c r="D8" s="11"/>
      <c r="F8" s="11"/>
      <c r="L8">
        <f>G8-I8</f>
        <v>0</v>
      </c>
    </row>
    <row r="9" spans="1:12" ht="15" customHeight="1" x14ac:dyDescent="0.2">
      <c r="A9" s="221" t="s">
        <v>2</v>
      </c>
      <c r="B9" s="222" t="s">
        <v>133</v>
      </c>
      <c r="C9" s="223"/>
      <c r="D9" s="223">
        <v>62310</v>
      </c>
      <c r="E9" s="223">
        <f>C9+D9</f>
        <v>62310</v>
      </c>
      <c r="F9" s="224">
        <f>'Revenue Offset'!G8</f>
        <v>0.47637790363380472</v>
      </c>
      <c r="H9" s="35">
        <f>E9*(1-F9)</f>
        <v>32626.892824577626</v>
      </c>
    </row>
    <row r="10" spans="1:12" s="54" customFormat="1" ht="15" customHeight="1" x14ac:dyDescent="0.2">
      <c r="A10" s="221" t="s">
        <v>4</v>
      </c>
      <c r="B10" s="222" t="s">
        <v>129</v>
      </c>
      <c r="C10" s="225">
        <v>3912</v>
      </c>
      <c r="D10" s="226">
        <v>59860</v>
      </c>
      <c r="E10" s="223">
        <f t="shared" ref="E10:E38" si="0">C10+D10</f>
        <v>63772</v>
      </c>
      <c r="F10" s="224">
        <f>'Revenue Offset'!G9</f>
        <v>0.54279634039250968</v>
      </c>
      <c r="H10" s="35">
        <f t="shared" ref="H10:H38" si="1">E10*(1-F10)</f>
        <v>29156.791780488871</v>
      </c>
    </row>
    <row r="11" spans="1:12" ht="15" customHeight="1" x14ac:dyDescent="0.2">
      <c r="A11" s="221" t="s">
        <v>5</v>
      </c>
      <c r="B11" s="222" t="s">
        <v>118</v>
      </c>
      <c r="C11" s="227">
        <f>20562+759</f>
        <v>21321</v>
      </c>
      <c r="D11" s="227">
        <v>39108</v>
      </c>
      <c r="E11" s="223">
        <f t="shared" si="0"/>
        <v>60429</v>
      </c>
      <c r="F11" s="224">
        <f>'Revenue Offset'!G10</f>
        <v>0.6243351814828747</v>
      </c>
      <c r="H11" s="35">
        <f t="shared" si="1"/>
        <v>22701.049318171365</v>
      </c>
      <c r="K11" s="24"/>
    </row>
    <row r="12" spans="1:12" ht="15" customHeight="1" x14ac:dyDescent="0.2">
      <c r="A12" s="221" t="s">
        <v>6</v>
      </c>
      <c r="B12" s="222" t="s">
        <v>7</v>
      </c>
      <c r="C12" s="223"/>
      <c r="D12" s="223">
        <v>37246</v>
      </c>
      <c r="E12" s="223">
        <f t="shared" si="0"/>
        <v>37246</v>
      </c>
      <c r="F12" s="224">
        <f>'Revenue Offset'!G11</f>
        <v>0.45306481524775344</v>
      </c>
      <c r="H12" s="35">
        <f t="shared" si="1"/>
        <v>20371.147891282177</v>
      </c>
    </row>
    <row r="13" spans="1:12" ht="15" customHeight="1" x14ac:dyDescent="0.2">
      <c r="A13" s="221" t="s">
        <v>8</v>
      </c>
      <c r="B13" s="222" t="s">
        <v>9</v>
      </c>
      <c r="C13" s="223"/>
      <c r="D13" s="223">
        <v>156693</v>
      </c>
      <c r="E13" s="223">
        <f t="shared" si="0"/>
        <v>156693</v>
      </c>
      <c r="F13" s="224">
        <f>'Revenue Offset'!G12</f>
        <v>0.54269310141843952</v>
      </c>
      <c r="H13" s="35">
        <f t="shared" si="1"/>
        <v>71656.789859440454</v>
      </c>
    </row>
    <row r="14" spans="1:12" ht="15" customHeight="1" x14ac:dyDescent="0.2">
      <c r="A14" s="221" t="s">
        <v>10</v>
      </c>
      <c r="B14" s="3" t="s">
        <v>156</v>
      </c>
      <c r="C14" s="223"/>
      <c r="D14" s="223">
        <v>401544</v>
      </c>
      <c r="E14" s="223">
        <f t="shared" si="0"/>
        <v>401544</v>
      </c>
      <c r="F14" s="224">
        <f>'Revenue Offset'!G13</f>
        <v>0.51561172547460099</v>
      </c>
      <c r="H14" s="35">
        <f t="shared" si="1"/>
        <v>194503.20530602682</v>
      </c>
    </row>
    <row r="15" spans="1:12" ht="15" customHeight="1" x14ac:dyDescent="0.2">
      <c r="A15" s="221" t="s">
        <v>12</v>
      </c>
      <c r="B15" s="222" t="s">
        <v>13</v>
      </c>
      <c r="C15" s="223">
        <v>18477</v>
      </c>
      <c r="D15" s="223"/>
      <c r="E15" s="223">
        <f t="shared" si="0"/>
        <v>18477</v>
      </c>
      <c r="F15" s="224">
        <f>'Revenue Offset'!G14</f>
        <v>0.42408712951772581</v>
      </c>
      <c r="H15" s="35">
        <f t="shared" si="1"/>
        <v>10641.142107900982</v>
      </c>
    </row>
    <row r="16" spans="1:12" ht="15" customHeight="1" x14ac:dyDescent="0.2">
      <c r="A16" s="221" t="s">
        <v>14</v>
      </c>
      <c r="B16" s="222" t="s">
        <v>145</v>
      </c>
      <c r="C16" s="223"/>
      <c r="D16" s="223"/>
      <c r="E16" s="223">
        <f t="shared" si="0"/>
        <v>0</v>
      </c>
      <c r="F16" s="224">
        <f>'Revenue Offset'!G15</f>
        <v>0.45324969293165529</v>
      </c>
      <c r="H16" s="35">
        <f t="shared" si="1"/>
        <v>0</v>
      </c>
    </row>
    <row r="17" spans="1:8" ht="15" customHeight="1" x14ac:dyDescent="0.2">
      <c r="A17" s="221" t="s">
        <v>16</v>
      </c>
      <c r="B17" s="222" t="s">
        <v>17</v>
      </c>
      <c r="C17" s="223"/>
      <c r="D17" s="223">
        <v>11467</v>
      </c>
      <c r="E17" s="223">
        <f t="shared" si="0"/>
        <v>11467</v>
      </c>
      <c r="F17" s="224">
        <f>'Revenue Offset'!G16</f>
        <v>0.49705898124292108</v>
      </c>
      <c r="H17" s="35">
        <f t="shared" si="1"/>
        <v>5767.224662087423</v>
      </c>
    </row>
    <row r="18" spans="1:8" ht="15" customHeight="1" x14ac:dyDescent="0.2">
      <c r="A18" s="221" t="s">
        <v>18</v>
      </c>
      <c r="B18" s="222" t="s">
        <v>146</v>
      </c>
      <c r="C18" s="223">
        <v>14079</v>
      </c>
      <c r="D18" s="223">
        <v>20133</v>
      </c>
      <c r="E18" s="223">
        <f t="shared" si="0"/>
        <v>34212</v>
      </c>
      <c r="F18" s="224">
        <f>'Revenue Offset'!G17</f>
        <v>0.62684270913299178</v>
      </c>
      <c r="H18" s="35">
        <f t="shared" si="1"/>
        <v>12766.457235142085</v>
      </c>
    </row>
    <row r="19" spans="1:8" ht="15" customHeight="1" x14ac:dyDescent="0.2">
      <c r="A19" s="221" t="s">
        <v>19</v>
      </c>
      <c r="B19" s="222" t="s">
        <v>134</v>
      </c>
      <c r="C19" s="223"/>
      <c r="D19" s="223"/>
      <c r="E19" s="223">
        <f t="shared" si="0"/>
        <v>0</v>
      </c>
      <c r="F19" s="224">
        <f>'Revenue Offset'!G18</f>
        <v>0.51006553977406088</v>
      </c>
      <c r="H19" s="35">
        <f t="shared" si="1"/>
        <v>0</v>
      </c>
    </row>
    <row r="20" spans="1:8" ht="15" customHeight="1" x14ac:dyDescent="0.2">
      <c r="A20" s="221" t="s">
        <v>21</v>
      </c>
      <c r="B20" s="228" t="s">
        <v>188</v>
      </c>
      <c r="C20" s="223"/>
      <c r="D20" s="223"/>
      <c r="E20" s="223">
        <f t="shared" si="0"/>
        <v>0</v>
      </c>
      <c r="F20" s="224">
        <f>'Revenue Offset'!G19</f>
        <v>0.44431114194542998</v>
      </c>
      <c r="H20" s="35">
        <f t="shared" si="1"/>
        <v>0</v>
      </c>
    </row>
    <row r="21" spans="1:8" ht="15" customHeight="1" x14ac:dyDescent="0.2">
      <c r="A21" s="221" t="s">
        <v>114</v>
      </c>
      <c r="B21" s="222" t="s">
        <v>147</v>
      </c>
      <c r="C21" s="223">
        <v>18449</v>
      </c>
      <c r="D21" s="223">
        <v>7452</v>
      </c>
      <c r="E21" s="223">
        <f t="shared" si="0"/>
        <v>25901</v>
      </c>
      <c r="F21" s="224">
        <f>'Revenue Offset'!G20</f>
        <v>0.5039903086783919</v>
      </c>
      <c r="H21" s="35">
        <f t="shared" si="1"/>
        <v>12847.147014920971</v>
      </c>
    </row>
    <row r="22" spans="1:8" ht="15" customHeight="1" x14ac:dyDescent="0.2">
      <c r="A22" s="221" t="s">
        <v>26</v>
      </c>
      <c r="B22" s="222" t="s">
        <v>62</v>
      </c>
      <c r="C22" s="223">
        <v>32</v>
      </c>
      <c r="D22" s="223">
        <v>420609</v>
      </c>
      <c r="E22" s="223">
        <f t="shared" si="0"/>
        <v>420641</v>
      </c>
      <c r="F22" s="224">
        <f>'Revenue Offset'!G21</f>
        <v>0.58704406864030156</v>
      </c>
      <c r="H22" s="35">
        <f t="shared" si="1"/>
        <v>173706.19592307491</v>
      </c>
    </row>
    <row r="23" spans="1:8" ht="15" customHeight="1" x14ac:dyDescent="0.2">
      <c r="A23" s="221" t="s">
        <v>22</v>
      </c>
      <c r="B23" s="222" t="s">
        <v>23</v>
      </c>
      <c r="C23" s="223">
        <v>1139408</v>
      </c>
      <c r="D23" s="223">
        <v>1293121</v>
      </c>
      <c r="E23" s="223">
        <f t="shared" si="0"/>
        <v>2432529</v>
      </c>
      <c r="F23" s="224">
        <f>'Revenue Offset'!G22</f>
        <v>0.65546373065460628</v>
      </c>
      <c r="H23" s="35">
        <f t="shared" si="1"/>
        <v>838094.46673448128</v>
      </c>
    </row>
    <row r="24" spans="1:8" ht="15" customHeight="1" x14ac:dyDescent="0.2">
      <c r="A24" s="221" t="s">
        <v>24</v>
      </c>
      <c r="B24" s="222" t="s">
        <v>143</v>
      </c>
      <c r="C24" s="223"/>
      <c r="D24" s="223">
        <v>401991</v>
      </c>
      <c r="E24" s="223">
        <f t="shared" si="0"/>
        <v>401991</v>
      </c>
      <c r="F24" s="224">
        <f>'Revenue Offset'!G23</f>
        <v>0.46995016730102229</v>
      </c>
      <c r="H24" s="35">
        <f t="shared" si="1"/>
        <v>213075.26229649477</v>
      </c>
    </row>
    <row r="25" spans="1:8" ht="15" customHeight="1" x14ac:dyDescent="0.2">
      <c r="A25" s="221" t="s">
        <v>27</v>
      </c>
      <c r="B25" s="222" t="s">
        <v>137</v>
      </c>
      <c r="C25" s="223"/>
      <c r="D25" s="223"/>
      <c r="E25" s="223">
        <f t="shared" si="0"/>
        <v>0</v>
      </c>
      <c r="F25" s="224">
        <f>'Revenue Offset'!G24</f>
        <v>0.60377951932445695</v>
      </c>
      <c r="H25" s="35">
        <f t="shared" si="1"/>
        <v>0</v>
      </c>
    </row>
    <row r="26" spans="1:8" ht="15" customHeight="1" x14ac:dyDescent="0.2">
      <c r="A26" s="221" t="s">
        <v>29</v>
      </c>
      <c r="B26" s="222" t="s">
        <v>138</v>
      </c>
      <c r="C26" s="223">
        <v>2798</v>
      </c>
      <c r="D26" s="223"/>
      <c r="E26" s="223">
        <f t="shared" si="0"/>
        <v>2798</v>
      </c>
      <c r="F26" s="224">
        <f>'Revenue Offset'!G25</f>
        <v>0.55876878580612266</v>
      </c>
      <c r="H26" s="35">
        <f t="shared" si="1"/>
        <v>1234.5649373144688</v>
      </c>
    </row>
    <row r="27" spans="1:8" ht="15" customHeight="1" x14ac:dyDescent="0.2">
      <c r="A27" s="221" t="s">
        <v>123</v>
      </c>
      <c r="B27" s="222" t="s">
        <v>63</v>
      </c>
      <c r="C27" s="227">
        <f>7432</f>
        <v>7432</v>
      </c>
      <c r="D27" s="227">
        <f>76487+100380+30789+2153+65043</f>
        <v>274852</v>
      </c>
      <c r="E27" s="223">
        <f t="shared" si="0"/>
        <v>282284</v>
      </c>
      <c r="F27" s="224">
        <f>'Revenue Offset'!G26</f>
        <v>0.46559118219121093</v>
      </c>
      <c r="H27" s="35">
        <f t="shared" si="1"/>
        <v>150855.05872633622</v>
      </c>
    </row>
    <row r="28" spans="1:8" ht="15" customHeight="1" x14ac:dyDescent="0.2">
      <c r="A28" s="221" t="s">
        <v>31</v>
      </c>
      <c r="B28" s="222" t="s">
        <v>139</v>
      </c>
      <c r="C28" s="223">
        <v>8175</v>
      </c>
      <c r="D28" s="223">
        <v>91242</v>
      </c>
      <c r="E28" s="223">
        <f t="shared" si="0"/>
        <v>99417</v>
      </c>
      <c r="F28" s="224">
        <f>'Revenue Offset'!G27</f>
        <v>0.47714027146384802</v>
      </c>
      <c r="H28" s="35">
        <f t="shared" si="1"/>
        <v>51981.14563187863</v>
      </c>
    </row>
    <row r="29" spans="1:8" ht="15" customHeight="1" x14ac:dyDescent="0.2">
      <c r="A29" s="221" t="s">
        <v>33</v>
      </c>
      <c r="B29" s="222" t="s">
        <v>135</v>
      </c>
      <c r="C29" s="223">
        <v>5575</v>
      </c>
      <c r="D29" s="223">
        <v>5000</v>
      </c>
      <c r="E29" s="223">
        <f t="shared" si="0"/>
        <v>10575</v>
      </c>
      <c r="F29" s="224">
        <f>'Revenue Offset'!G28</f>
        <v>0.41314995529542081</v>
      </c>
      <c r="H29" s="35">
        <f t="shared" si="1"/>
        <v>6205.9392227509252</v>
      </c>
    </row>
    <row r="30" spans="1:8" ht="15" customHeight="1" x14ac:dyDescent="0.2">
      <c r="A30" s="221" t="s">
        <v>35</v>
      </c>
      <c r="B30" s="222" t="s">
        <v>36</v>
      </c>
      <c r="C30" s="223"/>
      <c r="D30" s="223"/>
      <c r="E30" s="223">
        <f t="shared" si="0"/>
        <v>0</v>
      </c>
      <c r="F30" s="224">
        <f>'Revenue Offset'!G29</f>
        <v>0.48426000157658866</v>
      </c>
      <c r="H30" s="35">
        <f t="shared" si="1"/>
        <v>0</v>
      </c>
    </row>
    <row r="31" spans="1:8" ht="15" customHeight="1" x14ac:dyDescent="0.2">
      <c r="A31" s="221" t="s">
        <v>37</v>
      </c>
      <c r="B31" s="222" t="s">
        <v>136</v>
      </c>
      <c r="C31" s="223"/>
      <c r="D31" s="223"/>
      <c r="E31" s="223">
        <f t="shared" si="0"/>
        <v>0</v>
      </c>
      <c r="F31" s="224">
        <f>'Revenue Offset'!G30</f>
        <v>0.48594140940697578</v>
      </c>
      <c r="H31" s="35">
        <f t="shared" si="1"/>
        <v>0</v>
      </c>
    </row>
    <row r="32" spans="1:8" ht="15" customHeight="1" x14ac:dyDescent="0.2">
      <c r="A32" s="221" t="s">
        <v>39</v>
      </c>
      <c r="B32" s="222" t="s">
        <v>140</v>
      </c>
      <c r="C32" s="223"/>
      <c r="D32" s="223">
        <v>98860</v>
      </c>
      <c r="E32" s="223">
        <f t="shared" si="0"/>
        <v>98860</v>
      </c>
      <c r="F32" s="224">
        <f>'Revenue Offset'!G31</f>
        <v>0.56211497759633056</v>
      </c>
      <c r="H32" s="35">
        <f t="shared" si="1"/>
        <v>43289.313314826759</v>
      </c>
    </row>
    <row r="33" spans="1:9" ht="15" customHeight="1" x14ac:dyDescent="0.2">
      <c r="A33" s="221" t="s">
        <v>46</v>
      </c>
      <c r="B33" s="222" t="s">
        <v>70</v>
      </c>
      <c r="C33" s="223"/>
      <c r="D33" s="223"/>
      <c r="E33" s="223">
        <f t="shared" si="0"/>
        <v>0</v>
      </c>
      <c r="F33" s="224">
        <f>'Revenue Offset'!G32</f>
        <v>0.57477787892645948</v>
      </c>
      <c r="H33" s="35">
        <f t="shared" si="1"/>
        <v>0</v>
      </c>
    </row>
    <row r="34" spans="1:9" ht="15" customHeight="1" x14ac:dyDescent="0.2">
      <c r="A34" s="221" t="s">
        <v>41</v>
      </c>
      <c r="B34" s="222" t="s">
        <v>122</v>
      </c>
      <c r="C34" s="223"/>
      <c r="D34" s="223"/>
      <c r="E34" s="223">
        <f t="shared" si="0"/>
        <v>0</v>
      </c>
      <c r="F34" s="224">
        <f>'Revenue Offset'!G33</f>
        <v>0.46865714149555238</v>
      </c>
      <c r="H34" s="35">
        <f t="shared" si="1"/>
        <v>0</v>
      </c>
    </row>
    <row r="35" spans="1:9" ht="15" customHeight="1" x14ac:dyDescent="0.2">
      <c r="A35" s="221" t="s">
        <v>42</v>
      </c>
      <c r="B35" s="222" t="s">
        <v>69</v>
      </c>
      <c r="C35" s="223">
        <v>33672</v>
      </c>
      <c r="D35" s="223">
        <v>256528</v>
      </c>
      <c r="E35" s="223">
        <f t="shared" si="0"/>
        <v>290200</v>
      </c>
      <c r="F35" s="224">
        <f>'Revenue Offset'!G34</f>
        <v>0.55660120522880552</v>
      </c>
      <c r="H35" s="35">
        <f t="shared" si="1"/>
        <v>128674.33024260064</v>
      </c>
    </row>
    <row r="36" spans="1:9" ht="15" customHeight="1" x14ac:dyDescent="0.2">
      <c r="A36" s="221" t="s">
        <v>43</v>
      </c>
      <c r="B36" s="222" t="s">
        <v>44</v>
      </c>
      <c r="C36" s="223">
        <v>902825</v>
      </c>
      <c r="D36" s="223">
        <v>837338</v>
      </c>
      <c r="E36" s="223">
        <f t="shared" si="0"/>
        <v>1740163</v>
      </c>
      <c r="F36" s="224">
        <f>'Revenue Offset'!G35</f>
        <v>0.59073198573656738</v>
      </c>
      <c r="H36" s="35">
        <f t="shared" si="1"/>
        <v>712193.05550469772</v>
      </c>
    </row>
    <row r="37" spans="1:9" ht="15" customHeight="1" x14ac:dyDescent="0.2">
      <c r="A37" s="221" t="s">
        <v>45</v>
      </c>
      <c r="B37" s="222" t="s">
        <v>141</v>
      </c>
      <c r="C37" s="223">
        <v>141</v>
      </c>
      <c r="D37" s="223">
        <v>3047</v>
      </c>
      <c r="E37" s="223">
        <f t="shared" si="0"/>
        <v>3188</v>
      </c>
      <c r="F37" s="224">
        <f>'Revenue Offset'!G36</f>
        <v>0.54922558903724827</v>
      </c>
      <c r="H37" s="35">
        <f t="shared" si="1"/>
        <v>1437.0688221492526</v>
      </c>
    </row>
    <row r="38" spans="1:9" ht="15" customHeight="1" x14ac:dyDescent="0.2">
      <c r="A38" s="221" t="s">
        <v>47</v>
      </c>
      <c r="B38" s="222" t="s">
        <v>48</v>
      </c>
      <c r="C38" s="223">
        <v>71461</v>
      </c>
      <c r="D38" s="223">
        <v>184884</v>
      </c>
      <c r="E38" s="223">
        <f t="shared" si="0"/>
        <v>256345</v>
      </c>
      <c r="F38" s="224">
        <f>'Revenue Offset'!G37</f>
        <v>0.61802758270138181</v>
      </c>
      <c r="H38" s="35">
        <f t="shared" si="1"/>
        <v>97916.71931241428</v>
      </c>
    </row>
    <row r="39" spans="1:9" ht="15" customHeight="1" x14ac:dyDescent="0.2">
      <c r="D39" s="11"/>
      <c r="F39" s="11"/>
      <c r="G39" s="15"/>
      <c r="I39" s="6"/>
    </row>
    <row r="40" spans="1:9" ht="15" customHeight="1" x14ac:dyDescent="0.2">
      <c r="B40" t="s">
        <v>49</v>
      </c>
      <c r="C40" s="229">
        <f>SUM(C9:C39)</f>
        <v>2247757</v>
      </c>
      <c r="D40" s="229">
        <f>SUM(D9:D39)</f>
        <v>4663285</v>
      </c>
      <c r="E40" s="229">
        <f>SUM(E9:E39)</f>
        <v>6911042</v>
      </c>
      <c r="F40" s="230">
        <f>'[2]Revenue Offset (2)'!G40</f>
        <v>0.58953142624222721</v>
      </c>
      <c r="H40" s="229">
        <f>SUM(H9:H39)</f>
        <v>2831700.9686690583</v>
      </c>
    </row>
    <row r="42" spans="1:9" ht="15" customHeight="1" x14ac:dyDescent="0.2">
      <c r="A42" s="16" t="s">
        <v>330</v>
      </c>
    </row>
    <row r="43" spans="1:9" ht="15" customHeight="1" x14ac:dyDescent="0.2">
      <c r="A43" s="16" t="s">
        <v>337</v>
      </c>
    </row>
    <row r="44" spans="1:9" ht="15" customHeight="1" x14ac:dyDescent="0.2">
      <c r="A44" s="16"/>
    </row>
  </sheetData>
  <phoneticPr fontId="11" type="noConversion"/>
  <pageMargins left="0.75" right="0.53" top="0.47" bottom="0.28999999999999998" header="0.5" footer="0.28999999999999998"/>
  <pageSetup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-0.249977111117893"/>
    <pageSetUpPr fitToPage="1"/>
  </sheetPr>
  <dimension ref="A1:L47"/>
  <sheetViews>
    <sheetView topLeftCell="A2" zoomScale="90" zoomScaleNormal="90" workbookViewId="0">
      <selection activeCell="B37" sqref="B36:B37"/>
    </sheetView>
  </sheetViews>
  <sheetFormatPr defaultRowHeight="12.75" x14ac:dyDescent="0.2"/>
  <cols>
    <col min="1" max="1" width="6" style="242" customWidth="1"/>
    <col min="2" max="2" width="31.85546875" style="232" customWidth="1"/>
    <col min="3" max="3" width="14.7109375" style="233" customWidth="1"/>
    <col min="4" max="4" width="11.5703125" style="234" bestFit="1" customWidth="1"/>
    <col min="5" max="5" width="14.7109375" style="234" customWidth="1"/>
    <col min="6" max="6" width="15.140625" style="232" customWidth="1"/>
    <col min="7" max="7" width="17.85546875" style="235" customWidth="1"/>
    <col min="8" max="8" width="2.42578125" style="235" customWidth="1"/>
    <col min="9" max="9" width="10.7109375" style="232" hidden="1" customWidth="1"/>
    <col min="10" max="10" width="9.140625" style="232" hidden="1" customWidth="1"/>
    <col min="11" max="16384" width="9.140625" style="232"/>
  </cols>
  <sheetData>
    <row r="1" spans="1:12" ht="15.75" x14ac:dyDescent="0.25">
      <c r="A1" s="231" t="s">
        <v>267</v>
      </c>
      <c r="G1" s="488" t="s">
        <v>327</v>
      </c>
    </row>
    <row r="2" spans="1:12" x14ac:dyDescent="0.2">
      <c r="A2" s="236" t="s">
        <v>98</v>
      </c>
    </row>
    <row r="3" spans="1:12" x14ac:dyDescent="0.2">
      <c r="A3" s="236" t="s">
        <v>291</v>
      </c>
    </row>
    <row r="4" spans="1:12" s="238" customFormat="1" ht="12.75" customHeight="1" x14ac:dyDescent="0.2">
      <c r="A4" s="237" t="s">
        <v>168</v>
      </c>
      <c r="C4" s="239"/>
      <c r="D4" s="240"/>
      <c r="E4" s="240" t="s">
        <v>99</v>
      </c>
      <c r="G4" s="241" t="s">
        <v>169</v>
      </c>
      <c r="H4" s="241"/>
    </row>
    <row r="5" spans="1:12" x14ac:dyDescent="0.2">
      <c r="C5" s="239" t="s">
        <v>81</v>
      </c>
      <c r="D5" s="240" t="s">
        <v>74</v>
      </c>
      <c r="E5" s="240" t="s">
        <v>170</v>
      </c>
      <c r="F5" s="238" t="s">
        <v>76</v>
      </c>
      <c r="G5" s="241" t="s">
        <v>77</v>
      </c>
      <c r="H5" s="241"/>
    </row>
    <row r="6" spans="1:12" s="249" customFormat="1" ht="47.25" x14ac:dyDescent="0.25">
      <c r="A6" s="243" t="s">
        <v>0</v>
      </c>
      <c r="B6" s="243" t="s">
        <v>1</v>
      </c>
      <c r="C6" s="244" t="s">
        <v>292</v>
      </c>
      <c r="D6" s="245" t="s">
        <v>100</v>
      </c>
      <c r="E6" s="245" t="s">
        <v>101</v>
      </c>
      <c r="F6" s="246" t="s">
        <v>293</v>
      </c>
      <c r="G6" s="248" t="s">
        <v>124</v>
      </c>
      <c r="H6" s="247"/>
      <c r="I6" s="248" t="s">
        <v>328</v>
      </c>
    </row>
    <row r="7" spans="1:12" s="249" customFormat="1" x14ac:dyDescent="0.2">
      <c r="A7" s="122"/>
      <c r="B7" s="122"/>
      <c r="C7" s="208"/>
      <c r="D7" s="251"/>
      <c r="E7" s="251"/>
      <c r="G7" s="252"/>
      <c r="H7" s="252"/>
    </row>
    <row r="8" spans="1:12" x14ac:dyDescent="0.2">
      <c r="A8" s="253" t="s">
        <v>2</v>
      </c>
      <c r="B8" s="254" t="s">
        <v>133</v>
      </c>
      <c r="C8" s="255">
        <v>21286588.57</v>
      </c>
      <c r="D8" s="256">
        <v>758439.1</v>
      </c>
      <c r="E8" s="257">
        <f t="shared" ref="E8:E37" si="0">C8-D8</f>
        <v>20528149.469999999</v>
      </c>
      <c r="F8" s="258">
        <v>10748992.66</v>
      </c>
      <c r="G8" s="418">
        <f>(E8-F8)/E8</f>
        <v>0.47637790363380472</v>
      </c>
      <c r="H8" s="259"/>
      <c r="I8" s="260">
        <v>0.48639221315791692</v>
      </c>
      <c r="J8" s="302">
        <f>G8-I8</f>
        <v>-1.0014309524112197E-2</v>
      </c>
    </row>
    <row r="9" spans="1:12" x14ac:dyDescent="0.2">
      <c r="A9" s="253" t="s">
        <v>4</v>
      </c>
      <c r="B9" s="254" t="s">
        <v>129</v>
      </c>
      <c r="C9" s="255">
        <v>62222837.780000001</v>
      </c>
      <c r="D9" s="256">
        <v>490208.64</v>
      </c>
      <c r="E9" s="257">
        <f t="shared" si="0"/>
        <v>61732629.140000001</v>
      </c>
      <c r="F9" s="258">
        <v>28224383.960000001</v>
      </c>
      <c r="G9" s="418">
        <f t="shared" ref="G9:G37" si="1">(E9-F9)/E9</f>
        <v>0.54279634039250968</v>
      </c>
      <c r="H9" s="259"/>
      <c r="I9" s="260">
        <v>0.54453309777645564</v>
      </c>
      <c r="J9" s="302">
        <f t="shared" ref="J9:J37" si="2">G9-I9</f>
        <v>-1.7367573839459638E-3</v>
      </c>
    </row>
    <row r="10" spans="1:12" x14ac:dyDescent="0.2">
      <c r="A10" s="253" t="s">
        <v>5</v>
      </c>
      <c r="B10" s="254" t="s">
        <v>118</v>
      </c>
      <c r="C10" s="261">
        <v>66296321.979999997</v>
      </c>
      <c r="D10" s="256">
        <v>2011909.92</v>
      </c>
      <c r="E10" s="257">
        <f t="shared" si="0"/>
        <v>64284412.059999995</v>
      </c>
      <c r="F10" s="258">
        <v>24149391.989999998</v>
      </c>
      <c r="G10" s="418">
        <f t="shared" si="1"/>
        <v>0.6243351814828747</v>
      </c>
      <c r="H10" s="259"/>
      <c r="I10" s="260">
        <v>0.62453757853391123</v>
      </c>
      <c r="J10" s="302">
        <f t="shared" si="2"/>
        <v>-2.0239705103652916E-4</v>
      </c>
      <c r="L10" s="476"/>
    </row>
    <row r="11" spans="1:12" x14ac:dyDescent="0.2">
      <c r="A11" s="253" t="s">
        <v>6</v>
      </c>
      <c r="B11" s="254" t="s">
        <v>7</v>
      </c>
      <c r="C11" s="255">
        <v>27380050.100000001</v>
      </c>
      <c r="D11" s="256">
        <v>637097.63</v>
      </c>
      <c r="E11" s="257">
        <f t="shared" si="0"/>
        <v>26742952.470000003</v>
      </c>
      <c r="F11" s="258">
        <v>14626661.65</v>
      </c>
      <c r="G11" s="418">
        <f t="shared" si="1"/>
        <v>0.45306481524775344</v>
      </c>
      <c r="H11" s="259"/>
      <c r="I11" s="260">
        <v>0.45051477858043915</v>
      </c>
      <c r="J11" s="302">
        <f t="shared" si="2"/>
        <v>2.5500366673142927E-3</v>
      </c>
    </row>
    <row r="12" spans="1:12" x14ac:dyDescent="0.2">
      <c r="A12" s="253" t="s">
        <v>8</v>
      </c>
      <c r="B12" s="254" t="s">
        <v>9</v>
      </c>
      <c r="C12" s="255">
        <v>56013976.859999999</v>
      </c>
      <c r="D12" s="256">
        <v>411839.72</v>
      </c>
      <c r="E12" s="257">
        <f t="shared" si="0"/>
        <v>55602137.140000001</v>
      </c>
      <c r="F12" s="258">
        <v>25427240.890000001</v>
      </c>
      <c r="G12" s="418">
        <f t="shared" si="1"/>
        <v>0.54269310141843952</v>
      </c>
      <c r="H12" s="259"/>
      <c r="I12" s="260">
        <v>0.55140263148750424</v>
      </c>
      <c r="J12" s="302">
        <f t="shared" si="2"/>
        <v>-8.7095300690647193E-3</v>
      </c>
    </row>
    <row r="13" spans="1:12" x14ac:dyDescent="0.2">
      <c r="A13" s="253" t="s">
        <v>10</v>
      </c>
      <c r="B13" s="3" t="s">
        <v>156</v>
      </c>
      <c r="C13" s="255">
        <v>55234723.240000002</v>
      </c>
      <c r="D13" s="256">
        <v>1071687.49</v>
      </c>
      <c r="E13" s="257">
        <f t="shared" si="0"/>
        <v>54163035.75</v>
      </c>
      <c r="F13" s="258">
        <v>26235939.43</v>
      </c>
      <c r="G13" s="418">
        <f t="shared" si="1"/>
        <v>0.51561172547460099</v>
      </c>
      <c r="H13" s="259"/>
      <c r="I13" s="260">
        <v>0.52418938559296724</v>
      </c>
      <c r="J13" s="302">
        <f t="shared" si="2"/>
        <v>-8.5776601183662482E-3</v>
      </c>
    </row>
    <row r="14" spans="1:12" x14ac:dyDescent="0.2">
      <c r="A14" s="253" t="s">
        <v>12</v>
      </c>
      <c r="B14" s="254" t="s">
        <v>13</v>
      </c>
      <c r="C14" s="255">
        <v>9222007.9499999993</v>
      </c>
      <c r="D14" s="256">
        <v>-9596</v>
      </c>
      <c r="E14" s="257">
        <f t="shared" si="0"/>
        <v>9231603.9499999993</v>
      </c>
      <c r="F14" s="258">
        <v>5316599.53</v>
      </c>
      <c r="G14" s="418">
        <f t="shared" si="1"/>
        <v>0.42408712951772581</v>
      </c>
      <c r="H14" s="259"/>
      <c r="I14" s="260">
        <v>0.44980615125135653</v>
      </c>
      <c r="J14" s="302">
        <f t="shared" si="2"/>
        <v>-2.571902173363072E-2</v>
      </c>
    </row>
    <row r="15" spans="1:12" x14ac:dyDescent="0.2">
      <c r="A15" s="253" t="s">
        <v>14</v>
      </c>
      <c r="B15" s="254" t="s">
        <v>145</v>
      </c>
      <c r="C15" s="255">
        <v>39671195.780000001</v>
      </c>
      <c r="D15" s="256">
        <v>907146.33</v>
      </c>
      <c r="E15" s="257">
        <f t="shared" si="0"/>
        <v>38764049.450000003</v>
      </c>
      <c r="F15" s="258">
        <v>21194255.940000001</v>
      </c>
      <c r="G15" s="418">
        <f t="shared" si="1"/>
        <v>0.45324969293165529</v>
      </c>
      <c r="H15" s="259"/>
      <c r="I15" s="260">
        <v>0.46982173592688686</v>
      </c>
      <c r="J15" s="302">
        <f t="shared" si="2"/>
        <v>-1.6572042995231573E-2</v>
      </c>
    </row>
    <row r="16" spans="1:12" x14ac:dyDescent="0.2">
      <c r="A16" s="253" t="s">
        <v>16</v>
      </c>
      <c r="B16" s="254" t="s">
        <v>17</v>
      </c>
      <c r="C16" s="255">
        <v>32642130.329999998</v>
      </c>
      <c r="D16" s="256">
        <v>2320023.48</v>
      </c>
      <c r="E16" s="257">
        <f t="shared" si="0"/>
        <v>30322106.849999998</v>
      </c>
      <c r="F16" s="258">
        <v>15250231.310000001</v>
      </c>
      <c r="G16" s="418">
        <f t="shared" si="1"/>
        <v>0.49705898124292108</v>
      </c>
      <c r="H16" s="259"/>
      <c r="I16" s="260">
        <v>0.51416422428157793</v>
      </c>
      <c r="J16" s="302">
        <f t="shared" si="2"/>
        <v>-1.7105243038656848E-2</v>
      </c>
    </row>
    <row r="17" spans="1:10" x14ac:dyDescent="0.2">
      <c r="A17" s="253" t="s">
        <v>18</v>
      </c>
      <c r="B17" s="254" t="s">
        <v>146</v>
      </c>
      <c r="C17" s="255">
        <v>76670765.439999998</v>
      </c>
      <c r="D17" s="256">
        <v>235828.57</v>
      </c>
      <c r="E17" s="257">
        <f t="shared" si="0"/>
        <v>76434936.870000005</v>
      </c>
      <c r="F17" s="258">
        <v>28522253.969999999</v>
      </c>
      <c r="G17" s="418">
        <f t="shared" si="1"/>
        <v>0.62684270913299178</v>
      </c>
      <c r="H17" s="259"/>
      <c r="I17" s="260">
        <v>0.62836591974304412</v>
      </c>
      <c r="J17" s="302">
        <f t="shared" si="2"/>
        <v>-1.523210610052339E-3</v>
      </c>
    </row>
    <row r="18" spans="1:10" x14ac:dyDescent="0.2">
      <c r="A18" s="253" t="s">
        <v>19</v>
      </c>
      <c r="B18" s="254" t="s">
        <v>134</v>
      </c>
      <c r="C18" s="255">
        <v>51044163.049999997</v>
      </c>
      <c r="D18" s="256">
        <v>44576.19</v>
      </c>
      <c r="E18" s="257">
        <f t="shared" si="0"/>
        <v>50999586.859999999</v>
      </c>
      <c r="F18" s="258">
        <v>24986455.059999999</v>
      </c>
      <c r="G18" s="418">
        <f t="shared" si="1"/>
        <v>0.51006553977406088</v>
      </c>
      <c r="H18" s="259"/>
      <c r="I18" s="260">
        <v>0.53241164777845162</v>
      </c>
      <c r="J18" s="302">
        <f t="shared" si="2"/>
        <v>-2.2346108004390741E-2</v>
      </c>
    </row>
    <row r="19" spans="1:10" x14ac:dyDescent="0.2">
      <c r="A19" s="253" t="s">
        <v>21</v>
      </c>
      <c r="B19" s="262" t="s">
        <v>188</v>
      </c>
      <c r="C19" s="255">
        <v>15864532.49</v>
      </c>
      <c r="D19" s="256">
        <v>273535.28999999998</v>
      </c>
      <c r="E19" s="257">
        <f t="shared" si="0"/>
        <v>15590997.200000001</v>
      </c>
      <c r="F19" s="258">
        <v>8663743.4299999997</v>
      </c>
      <c r="G19" s="418">
        <f>(E19-F19)/E19</f>
        <v>0.44431114194542998</v>
      </c>
      <c r="H19" s="259"/>
      <c r="I19" s="260">
        <v>0.4520282118181288</v>
      </c>
      <c r="J19" s="302">
        <f t="shared" si="2"/>
        <v>-7.7170698726988229E-3</v>
      </c>
    </row>
    <row r="20" spans="1:10" x14ac:dyDescent="0.2">
      <c r="A20" s="263" t="s">
        <v>114</v>
      </c>
      <c r="B20" s="254" t="s">
        <v>147</v>
      </c>
      <c r="C20" s="255">
        <v>44099797.119999997</v>
      </c>
      <c r="D20" s="256">
        <v>981186.79</v>
      </c>
      <c r="E20" s="257">
        <f>C20-D20</f>
        <v>43118610.329999998</v>
      </c>
      <c r="F20" s="258">
        <v>21387248.600000001</v>
      </c>
      <c r="G20" s="418">
        <f t="shared" si="1"/>
        <v>0.5039903086783919</v>
      </c>
      <c r="H20" s="259"/>
      <c r="I20" s="260">
        <v>0.50552887215666698</v>
      </c>
      <c r="J20" s="302">
        <f t="shared" si="2"/>
        <v>-1.538563478275079E-3</v>
      </c>
    </row>
    <row r="21" spans="1:10" x14ac:dyDescent="0.2">
      <c r="A21" s="253" t="s">
        <v>26</v>
      </c>
      <c r="B21" s="254" t="s">
        <v>62</v>
      </c>
      <c r="C21" s="255">
        <v>73796377.290000007</v>
      </c>
      <c r="D21" s="256">
        <v>143130.95000000001</v>
      </c>
      <c r="E21" s="257">
        <f t="shared" si="0"/>
        <v>73653246.340000004</v>
      </c>
      <c r="F21" s="258">
        <v>30415544.940000001</v>
      </c>
      <c r="G21" s="418">
        <f t="shared" si="1"/>
        <v>0.58704406864030156</v>
      </c>
      <c r="H21" s="259"/>
      <c r="I21" s="260">
        <v>0.57582615107919288</v>
      </c>
      <c r="J21" s="302">
        <f t="shared" si="2"/>
        <v>1.1217917561108681E-2</v>
      </c>
    </row>
    <row r="22" spans="1:10" x14ac:dyDescent="0.2">
      <c r="A22" s="253" t="s">
        <v>22</v>
      </c>
      <c r="B22" s="254" t="s">
        <v>23</v>
      </c>
      <c r="C22" s="255">
        <v>174076569.78</v>
      </c>
      <c r="D22" s="256">
        <v>4378952.5999999996</v>
      </c>
      <c r="E22" s="257">
        <f t="shared" si="0"/>
        <v>169697617.18000001</v>
      </c>
      <c r="F22" s="258">
        <v>58466983.939999998</v>
      </c>
      <c r="G22" s="418">
        <f t="shared" si="1"/>
        <v>0.65546373065460628</v>
      </c>
      <c r="H22" s="259"/>
      <c r="I22" s="260">
        <v>0.65067460123907328</v>
      </c>
      <c r="J22" s="302">
        <f t="shared" si="2"/>
        <v>4.789129415533E-3</v>
      </c>
    </row>
    <row r="23" spans="1:10" x14ac:dyDescent="0.2">
      <c r="A23" s="253" t="s">
        <v>24</v>
      </c>
      <c r="B23" s="254" t="s">
        <v>143</v>
      </c>
      <c r="C23" s="255">
        <v>22894736.68</v>
      </c>
      <c r="D23" s="256">
        <v>205768.93</v>
      </c>
      <c r="E23" s="257">
        <f t="shared" si="0"/>
        <v>22688967.75</v>
      </c>
      <c r="F23" s="258">
        <v>12026283.560000001</v>
      </c>
      <c r="G23" s="418">
        <f t="shared" si="1"/>
        <v>0.46995016730102229</v>
      </c>
      <c r="H23" s="259"/>
      <c r="I23" s="260">
        <v>0.46447839587742934</v>
      </c>
      <c r="J23" s="302">
        <f t="shared" si="2"/>
        <v>5.4717714235929527E-3</v>
      </c>
    </row>
    <row r="24" spans="1:10" x14ac:dyDescent="0.2">
      <c r="A24" s="253" t="s">
        <v>27</v>
      </c>
      <c r="B24" s="254" t="s">
        <v>137</v>
      </c>
      <c r="C24" s="255">
        <v>61116284.640000001</v>
      </c>
      <c r="D24" s="256">
        <v>251523.74</v>
      </c>
      <c r="E24" s="257">
        <f t="shared" si="0"/>
        <v>60864760.899999999</v>
      </c>
      <c r="F24" s="258">
        <v>24115864.82</v>
      </c>
      <c r="G24" s="418">
        <f t="shared" si="1"/>
        <v>0.60377951932445695</v>
      </c>
      <c r="H24" s="259"/>
      <c r="I24" s="260">
        <v>0.60509441794710717</v>
      </c>
      <c r="J24" s="302">
        <f t="shared" si="2"/>
        <v>-1.314898622650218E-3</v>
      </c>
    </row>
    <row r="25" spans="1:10" x14ac:dyDescent="0.2">
      <c r="A25" s="253" t="s">
        <v>29</v>
      </c>
      <c r="B25" s="254" t="s">
        <v>138</v>
      </c>
      <c r="C25" s="255">
        <v>39872175.359999999</v>
      </c>
      <c r="D25" s="256">
        <v>110400.16</v>
      </c>
      <c r="E25" s="257">
        <f t="shared" si="0"/>
        <v>39761775.200000003</v>
      </c>
      <c r="F25" s="258">
        <v>17544136.350000001</v>
      </c>
      <c r="G25" s="418">
        <f t="shared" si="1"/>
        <v>0.55876878580612266</v>
      </c>
      <c r="H25" s="259"/>
      <c r="I25" s="260">
        <v>0.57956459714040864</v>
      </c>
      <c r="J25" s="302">
        <f t="shared" si="2"/>
        <v>-2.0795811334285985E-2</v>
      </c>
    </row>
    <row r="26" spans="1:10" x14ac:dyDescent="0.2">
      <c r="A26" s="263" t="s">
        <v>123</v>
      </c>
      <c r="B26" s="254" t="s">
        <v>63</v>
      </c>
      <c r="C26" s="261">
        <v>40103508.43</v>
      </c>
      <c r="D26" s="256">
        <v>796794.45</v>
      </c>
      <c r="E26" s="257">
        <f t="shared" si="0"/>
        <v>39306713.979999997</v>
      </c>
      <c r="F26" s="258">
        <v>21005854.550000001</v>
      </c>
      <c r="G26" s="418">
        <f t="shared" si="1"/>
        <v>0.46559118219121093</v>
      </c>
      <c r="H26" s="259"/>
      <c r="I26" s="260">
        <v>0.465784930494264</v>
      </c>
      <c r="J26" s="302">
        <f t="shared" si="2"/>
        <v>-1.9374830305307622E-4</v>
      </c>
    </row>
    <row r="27" spans="1:10" x14ac:dyDescent="0.2">
      <c r="A27" s="264" t="s">
        <v>115</v>
      </c>
      <c r="B27" s="254" t="s">
        <v>139</v>
      </c>
      <c r="C27" s="255">
        <v>25075127.34</v>
      </c>
      <c r="D27" s="256">
        <v>543521.93999999994</v>
      </c>
      <c r="E27" s="257">
        <f t="shared" si="0"/>
        <v>24531605.399999999</v>
      </c>
      <c r="F27" s="258">
        <v>12826588.539999999</v>
      </c>
      <c r="G27" s="418">
        <f t="shared" si="1"/>
        <v>0.47714027146384802</v>
      </c>
      <c r="H27" s="259"/>
      <c r="I27" s="260">
        <v>0.47057692148940627</v>
      </c>
      <c r="J27" s="302">
        <f t="shared" si="2"/>
        <v>6.5633499744417456E-3</v>
      </c>
    </row>
    <row r="28" spans="1:10" x14ac:dyDescent="0.2">
      <c r="A28" s="253" t="s">
        <v>33</v>
      </c>
      <c r="B28" s="254" t="s">
        <v>135</v>
      </c>
      <c r="C28" s="255">
        <v>6786992.2000000002</v>
      </c>
      <c r="D28" s="256">
        <v>15817.85</v>
      </c>
      <c r="E28" s="257">
        <f t="shared" si="0"/>
        <v>6771174.3500000006</v>
      </c>
      <c r="F28" s="258">
        <v>3973663.97</v>
      </c>
      <c r="G28" s="418">
        <f t="shared" si="1"/>
        <v>0.41314995529542081</v>
      </c>
      <c r="H28" s="259"/>
      <c r="I28" s="260">
        <v>0.41714297750943208</v>
      </c>
      <c r="J28" s="302">
        <f t="shared" si="2"/>
        <v>-3.9930222140112659E-3</v>
      </c>
    </row>
    <row r="29" spans="1:10" x14ac:dyDescent="0.2">
      <c r="A29" s="253" t="s">
        <v>35</v>
      </c>
      <c r="B29" s="254" t="s">
        <v>36</v>
      </c>
      <c r="C29" s="255">
        <v>30676139.239999998</v>
      </c>
      <c r="D29" s="256">
        <v>691907.52</v>
      </c>
      <c r="E29" s="257">
        <f t="shared" si="0"/>
        <v>29984231.719999999</v>
      </c>
      <c r="F29" s="258">
        <v>15464067.619999999</v>
      </c>
      <c r="G29" s="418">
        <f t="shared" si="1"/>
        <v>0.48426000157658866</v>
      </c>
      <c r="H29" s="259"/>
      <c r="I29" s="260">
        <v>0.47780491960709021</v>
      </c>
      <c r="J29" s="302">
        <f t="shared" si="2"/>
        <v>6.4550819694984551E-3</v>
      </c>
    </row>
    <row r="30" spans="1:10" x14ac:dyDescent="0.2">
      <c r="A30" s="253" t="s">
        <v>37</v>
      </c>
      <c r="B30" s="254" t="s">
        <v>136</v>
      </c>
      <c r="C30" s="255">
        <v>23167890.449999999</v>
      </c>
      <c r="D30" s="256">
        <v>468567.72</v>
      </c>
      <c r="E30" s="257">
        <f t="shared" si="0"/>
        <v>22699322.73</v>
      </c>
      <c r="F30" s="258">
        <v>11668781.85</v>
      </c>
      <c r="G30" s="418">
        <f t="shared" si="1"/>
        <v>0.48594140940697578</v>
      </c>
      <c r="H30" s="259"/>
      <c r="I30" s="260">
        <v>0.480358996745472</v>
      </c>
      <c r="J30" s="302">
        <f t="shared" si="2"/>
        <v>5.5824126615037772E-3</v>
      </c>
    </row>
    <row r="31" spans="1:10" x14ac:dyDescent="0.2">
      <c r="A31" s="253" t="s">
        <v>39</v>
      </c>
      <c r="B31" s="254" t="s">
        <v>140</v>
      </c>
      <c r="C31" s="255">
        <v>42892691.130000003</v>
      </c>
      <c r="D31" s="256">
        <v>2562094.84</v>
      </c>
      <c r="E31" s="257">
        <f t="shared" si="0"/>
        <v>40330596.290000007</v>
      </c>
      <c r="F31" s="258">
        <v>17660164.059999999</v>
      </c>
      <c r="G31" s="418">
        <f t="shared" si="1"/>
        <v>0.56211497759633056</v>
      </c>
      <c r="H31" s="259"/>
      <c r="I31" s="260">
        <v>0.56738066513450147</v>
      </c>
      <c r="J31" s="302">
        <f t="shared" si="2"/>
        <v>-5.2656875381709156E-3</v>
      </c>
    </row>
    <row r="32" spans="1:10" x14ac:dyDescent="0.2">
      <c r="A32" s="253" t="s">
        <v>46</v>
      </c>
      <c r="B32" s="254" t="s">
        <v>70</v>
      </c>
      <c r="C32" s="255">
        <v>41949565.32</v>
      </c>
      <c r="D32" s="256">
        <v>419337.67</v>
      </c>
      <c r="E32" s="257">
        <f t="shared" si="0"/>
        <v>41530227.649999999</v>
      </c>
      <c r="F32" s="258">
        <v>17659571.489999998</v>
      </c>
      <c r="G32" s="418">
        <f t="shared" si="1"/>
        <v>0.57477787892645948</v>
      </c>
      <c r="H32" s="259"/>
      <c r="I32" s="260">
        <v>0.57944309996775789</v>
      </c>
      <c r="J32" s="302">
        <f t="shared" si="2"/>
        <v>-4.6652210412984063E-3</v>
      </c>
    </row>
    <row r="33" spans="1:10" x14ac:dyDescent="0.2">
      <c r="A33" s="253" t="s">
        <v>41</v>
      </c>
      <c r="B33" s="254" t="s">
        <v>122</v>
      </c>
      <c r="C33" s="255">
        <v>25821257.420000002</v>
      </c>
      <c r="D33" s="256">
        <v>379373.27</v>
      </c>
      <c r="E33" s="257">
        <f>C33-D33</f>
        <v>25441884.150000002</v>
      </c>
      <c r="F33" s="258">
        <v>13518363.449999999</v>
      </c>
      <c r="G33" s="418">
        <f t="shared" si="1"/>
        <v>0.46865714149555238</v>
      </c>
      <c r="H33" s="259"/>
      <c r="I33" s="260">
        <v>0.47099075237597204</v>
      </c>
      <c r="J33" s="302">
        <f t="shared" si="2"/>
        <v>-2.3336108804196676E-3</v>
      </c>
    </row>
    <row r="34" spans="1:10" x14ac:dyDescent="0.2">
      <c r="A34" s="253" t="s">
        <v>42</v>
      </c>
      <c r="B34" s="254" t="s">
        <v>69</v>
      </c>
      <c r="C34" s="255">
        <v>41525116.93</v>
      </c>
      <c r="D34" s="256">
        <v>874123.71</v>
      </c>
      <c r="E34" s="257">
        <f t="shared" si="0"/>
        <v>40650993.219999999</v>
      </c>
      <c r="F34" s="258">
        <v>18024601.399999999</v>
      </c>
      <c r="G34" s="418">
        <f t="shared" si="1"/>
        <v>0.55660120522880552</v>
      </c>
      <c r="H34" s="259"/>
      <c r="I34" s="260">
        <v>0.55838092240113668</v>
      </c>
      <c r="J34" s="302">
        <f t="shared" si="2"/>
        <v>-1.7797171723311633E-3</v>
      </c>
    </row>
    <row r="35" spans="1:10" x14ac:dyDescent="0.2">
      <c r="A35" s="253" t="s">
        <v>43</v>
      </c>
      <c r="B35" s="254" t="s">
        <v>44</v>
      </c>
      <c r="C35" s="255">
        <v>153508776.50999999</v>
      </c>
      <c r="D35" s="256">
        <v>676945.9</v>
      </c>
      <c r="E35" s="257">
        <f t="shared" si="0"/>
        <v>152831830.60999998</v>
      </c>
      <c r="F35" s="258">
        <v>62549179.829999998</v>
      </c>
      <c r="G35" s="418">
        <f t="shared" si="1"/>
        <v>0.59073198573656738</v>
      </c>
      <c r="H35" s="259"/>
      <c r="I35" s="260">
        <v>0.58900048828869056</v>
      </c>
      <c r="J35" s="302">
        <f t="shared" si="2"/>
        <v>1.7314974478768175E-3</v>
      </c>
    </row>
    <row r="36" spans="1:10" x14ac:dyDescent="0.2">
      <c r="A36" s="253" t="s">
        <v>45</v>
      </c>
      <c r="B36" s="254" t="s">
        <v>141</v>
      </c>
      <c r="C36" s="255">
        <v>32398349.300000001</v>
      </c>
      <c r="D36" s="256">
        <v>319553.68</v>
      </c>
      <c r="E36" s="257">
        <f t="shared" si="0"/>
        <v>32078795.620000001</v>
      </c>
      <c r="F36" s="258">
        <v>14460300.199999999</v>
      </c>
      <c r="G36" s="418">
        <f t="shared" si="1"/>
        <v>0.54922558903724827</v>
      </c>
      <c r="H36" s="259"/>
      <c r="I36" s="260">
        <v>0.56041037842414987</v>
      </c>
      <c r="J36" s="302">
        <f t="shared" si="2"/>
        <v>-1.1184789386901595E-2</v>
      </c>
    </row>
    <row r="37" spans="1:10" x14ac:dyDescent="0.2">
      <c r="A37" s="253" t="s">
        <v>47</v>
      </c>
      <c r="B37" s="254" t="s">
        <v>48</v>
      </c>
      <c r="C37" s="255">
        <v>98550607.640000001</v>
      </c>
      <c r="D37" s="256">
        <v>1079003.8700000001</v>
      </c>
      <c r="E37" s="257">
        <f t="shared" si="0"/>
        <v>97471603.769999996</v>
      </c>
      <c r="F37" s="258">
        <v>37231464.109999999</v>
      </c>
      <c r="G37" s="418">
        <f t="shared" si="1"/>
        <v>0.61802758270138181</v>
      </c>
      <c r="H37" s="259"/>
      <c r="I37" s="260">
        <v>0.62676893077370865</v>
      </c>
      <c r="J37" s="302">
        <f t="shared" si="2"/>
        <v>-8.7413480723268489E-3</v>
      </c>
    </row>
    <row r="38" spans="1:10" x14ac:dyDescent="0.2">
      <c r="C38" s="265"/>
      <c r="D38" s="266"/>
      <c r="E38" s="266"/>
      <c r="F38" s="267"/>
      <c r="G38" s="268"/>
      <c r="H38" s="268"/>
    </row>
    <row r="39" spans="1:10" x14ac:dyDescent="0.2">
      <c r="B39" s="232" t="s">
        <v>49</v>
      </c>
      <c r="C39" s="265">
        <f>SUM(C8:C38)</f>
        <v>1491861256.3500001</v>
      </c>
      <c r="D39" s="266">
        <f>SUM(D8:D38)</f>
        <v>24050701.949999996</v>
      </c>
      <c r="E39" s="266">
        <f>SUM(E8:E38)</f>
        <v>1467810554.4000001</v>
      </c>
      <c r="F39" s="266">
        <f>SUM(F8:F38)</f>
        <v>643344813.10000014</v>
      </c>
      <c r="G39" s="259">
        <f>(E39-F39)/E39</f>
        <v>0.56169765153175266</v>
      </c>
      <c r="H39" s="268"/>
      <c r="I39" s="235">
        <v>0.58917622469614928</v>
      </c>
      <c r="J39" s="303">
        <f>AVERAGE(J8:J38)</f>
        <v>-4.5889523774680398E-3</v>
      </c>
    </row>
    <row r="40" spans="1:10" x14ac:dyDescent="0.2">
      <c r="A40" s="269" t="s">
        <v>130</v>
      </c>
      <c r="C40" s="265"/>
      <c r="D40" s="266"/>
      <c r="E40" s="266"/>
      <c r="F40" s="267"/>
      <c r="H40" s="268"/>
    </row>
    <row r="41" spans="1:10" x14ac:dyDescent="0.2">
      <c r="A41" s="270"/>
      <c r="C41" s="265"/>
      <c r="D41" s="266"/>
      <c r="E41" s="266"/>
      <c r="F41" s="267"/>
      <c r="H41" s="268"/>
    </row>
    <row r="42" spans="1:10" x14ac:dyDescent="0.2">
      <c r="A42" s="16" t="s">
        <v>330</v>
      </c>
      <c r="C42" s="265"/>
      <c r="D42" s="266"/>
      <c r="E42" s="266"/>
      <c r="F42" s="267"/>
      <c r="G42" s="268"/>
      <c r="H42" s="268"/>
    </row>
    <row r="43" spans="1:10" x14ac:dyDescent="0.2">
      <c r="A43" s="16" t="s">
        <v>337</v>
      </c>
      <c r="C43" s="265"/>
      <c r="D43" s="266"/>
      <c r="E43" s="266"/>
      <c r="F43" s="267"/>
      <c r="G43" s="268"/>
      <c r="H43" s="268"/>
    </row>
    <row r="44" spans="1:10" x14ac:dyDescent="0.2">
      <c r="A44" s="271"/>
      <c r="C44" s="265"/>
      <c r="D44" s="266"/>
      <c r="E44" s="266"/>
      <c r="F44" s="267"/>
      <c r="G44" s="268"/>
      <c r="H44" s="268"/>
    </row>
    <row r="45" spans="1:10" x14ac:dyDescent="0.2">
      <c r="C45" s="265"/>
      <c r="D45" s="265"/>
      <c r="E45" s="265"/>
      <c r="F45" s="267"/>
      <c r="G45" s="268"/>
      <c r="H45" s="268"/>
    </row>
    <row r="46" spans="1:10" x14ac:dyDescent="0.2">
      <c r="C46" s="265"/>
      <c r="D46" s="266"/>
      <c r="E46" s="266"/>
      <c r="F46" s="267"/>
      <c r="G46" s="268"/>
      <c r="H46" s="268"/>
    </row>
    <row r="47" spans="1:10" x14ac:dyDescent="0.2">
      <c r="C47" s="265"/>
      <c r="D47" s="266"/>
      <c r="E47" s="266"/>
      <c r="F47" s="267"/>
      <c r="G47" s="268"/>
      <c r="H47" s="268"/>
    </row>
  </sheetData>
  <pageMargins left="0.7" right="0.7" top="0.75" bottom="0.75" header="0.3" footer="0.3"/>
  <pageSetup scale="8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C15"/>
  <sheetViews>
    <sheetView workbookViewId="0">
      <selection activeCell="A35" sqref="A35"/>
    </sheetView>
  </sheetViews>
  <sheetFormatPr defaultRowHeight="12.75" x14ac:dyDescent="0.2"/>
  <cols>
    <col min="1" max="1" width="35.42578125" bestFit="1" customWidth="1"/>
    <col min="2" max="2" width="10.28515625" bestFit="1" customWidth="1"/>
    <col min="3" max="3" width="9.140625" style="409"/>
  </cols>
  <sheetData>
    <row r="2" spans="1:3" x14ac:dyDescent="0.2">
      <c r="A2" s="209" t="s">
        <v>270</v>
      </c>
    </row>
    <row r="4" spans="1:3" ht="38.25" x14ac:dyDescent="0.2">
      <c r="B4" s="411" t="s">
        <v>274</v>
      </c>
      <c r="C4" s="412" t="s">
        <v>275</v>
      </c>
    </row>
    <row r="5" spans="1:3" x14ac:dyDescent="0.2">
      <c r="A5" s="406" t="s">
        <v>226</v>
      </c>
      <c r="B5" s="11">
        <f>Summary!R42</f>
        <v>0</v>
      </c>
      <c r="C5" s="410">
        <f>Summary!S42</f>
        <v>0</v>
      </c>
    </row>
    <row r="6" spans="1:3" x14ac:dyDescent="0.2">
      <c r="A6" s="406" t="s">
        <v>219</v>
      </c>
      <c r="B6" s="11">
        <f>Summary!R43</f>
        <v>0</v>
      </c>
      <c r="C6" s="410">
        <f>Summary!S43</f>
        <v>0</v>
      </c>
    </row>
    <row r="7" spans="1:3" x14ac:dyDescent="0.2">
      <c r="A7" s="406"/>
    </row>
    <row r="8" spans="1:3" s="404" customFormat="1" x14ac:dyDescent="0.2">
      <c r="A8" s="405" t="s">
        <v>268</v>
      </c>
      <c r="B8" s="408">
        <f>Summary!R44</f>
        <v>0</v>
      </c>
      <c r="C8" s="410">
        <f>Summary!S44</f>
        <v>0</v>
      </c>
    </row>
    <row r="9" spans="1:3" x14ac:dyDescent="0.2">
      <c r="A9" s="406" t="s">
        <v>269</v>
      </c>
      <c r="B9" s="408">
        <f>Summary!R45</f>
        <v>0</v>
      </c>
      <c r="C9" s="410">
        <f>Summary!S45</f>
        <v>0</v>
      </c>
    </row>
    <row r="10" spans="1:3" x14ac:dyDescent="0.2">
      <c r="A10" s="406"/>
    </row>
    <row r="11" spans="1:3" x14ac:dyDescent="0.2">
      <c r="A11" s="407" t="s">
        <v>271</v>
      </c>
      <c r="B11" s="11">
        <f>Summary!R46</f>
        <v>0</v>
      </c>
      <c r="C11" s="410">
        <f>Summary!S46</f>
        <v>0</v>
      </c>
    </row>
    <row r="12" spans="1:3" x14ac:dyDescent="0.2">
      <c r="A12" s="407" t="s">
        <v>272</v>
      </c>
      <c r="B12" s="11">
        <f>Summary!R47</f>
        <v>0</v>
      </c>
      <c r="C12" s="410">
        <f>Summary!S47</f>
        <v>0</v>
      </c>
    </row>
    <row r="15" spans="1:3" x14ac:dyDescent="0.2">
      <c r="A15" s="209" t="s">
        <v>273</v>
      </c>
      <c r="B15" s="11">
        <f>Summary!R40</f>
        <v>0</v>
      </c>
      <c r="C15" s="410">
        <f>B15/Summary!O41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0.39997558519241921"/>
  </sheetPr>
  <dimension ref="A1:AA58"/>
  <sheetViews>
    <sheetView tabSelected="1" zoomScale="80" zoomScaleNormal="80" workbookViewId="0">
      <pane xSplit="3" ySplit="5" topLeftCell="D6" activePane="bottomRight" state="frozen"/>
      <selection activeCell="D12" sqref="D12"/>
      <selection pane="topRight" activeCell="D12" sqref="D12"/>
      <selection pane="bottomLeft" activeCell="D12" sqref="D12"/>
      <selection pane="bottomRight" activeCell="D23" sqref="D23"/>
    </sheetView>
  </sheetViews>
  <sheetFormatPr defaultRowHeight="12.75" x14ac:dyDescent="0.2"/>
  <cols>
    <col min="1" max="1" width="4.7109375" hidden="1" customWidth="1"/>
    <col min="2" max="2" width="6.85546875" customWidth="1"/>
    <col min="3" max="3" width="32.140625" bestFit="1" customWidth="1"/>
    <col min="4" max="4" width="8" style="54" customWidth="1"/>
    <col min="5" max="5" width="12.85546875" style="54" customWidth="1"/>
    <col min="6" max="6" width="13.85546875" style="54" customWidth="1"/>
    <col min="7" max="7" width="10.7109375" style="54" customWidth="1"/>
    <col min="8" max="8" width="10.5703125" style="54" customWidth="1"/>
    <col min="9" max="9" width="15.5703125" style="54" customWidth="1"/>
    <col min="10" max="10" width="17" bestFit="1" customWidth="1"/>
    <col min="11" max="11" width="11" style="6" customWidth="1"/>
    <col min="12" max="12" width="13.140625" style="68" bestFit="1" customWidth="1"/>
    <col min="13" max="13" width="9" style="43" customWidth="1"/>
    <col min="14" max="14" width="12.5703125" customWidth="1"/>
    <col min="15" max="15" width="13.42578125" style="54" customWidth="1"/>
    <col min="16" max="16" width="14.28515625" style="54" customWidth="1"/>
    <col min="17" max="17" width="13.7109375" style="6" customWidth="1"/>
    <col min="18" max="18" width="13" bestFit="1" customWidth="1"/>
    <col min="19" max="19" width="8.28515625" customWidth="1"/>
    <col min="20" max="20" width="2.7109375" customWidth="1"/>
    <col min="21" max="21" width="13.42578125" customWidth="1"/>
    <col min="22" max="22" width="14.5703125" style="24" customWidth="1"/>
    <col min="23" max="25" width="13.42578125" customWidth="1"/>
    <col min="27" max="27" width="10.7109375" style="492" bestFit="1" customWidth="1"/>
  </cols>
  <sheetData>
    <row r="1" spans="1:27" s="15" customFormat="1" ht="15.75" x14ac:dyDescent="0.25">
      <c r="A1" s="197"/>
      <c r="B1" s="39"/>
      <c r="D1" s="177"/>
      <c r="E1" s="91"/>
      <c r="F1" s="91"/>
      <c r="G1" s="91"/>
      <c r="H1" s="91"/>
      <c r="I1" s="47"/>
      <c r="J1" s="482"/>
      <c r="K1" s="22"/>
      <c r="L1" s="66"/>
      <c r="M1" s="49"/>
      <c r="O1" s="58"/>
      <c r="P1" s="88" t="s">
        <v>128</v>
      </c>
      <c r="Q1" s="28"/>
      <c r="R1" s="489"/>
      <c r="V1" s="216"/>
      <c r="X1" s="489"/>
      <c r="Y1" s="489"/>
      <c r="AA1" s="491"/>
    </row>
    <row r="2" spans="1:27" s="15" customFormat="1" ht="24.75" customHeight="1" x14ac:dyDescent="0.2">
      <c r="A2" s="197"/>
      <c r="B2" s="197"/>
      <c r="C2" s="197"/>
      <c r="D2" s="91"/>
      <c r="E2" s="91"/>
      <c r="F2" s="91"/>
      <c r="G2" s="91"/>
      <c r="H2" s="91"/>
      <c r="I2" s="47"/>
      <c r="J2" s="26" t="s">
        <v>158</v>
      </c>
      <c r="K2" s="25" t="s">
        <v>159</v>
      </c>
      <c r="L2" s="66"/>
      <c r="M2" s="44" t="s">
        <v>160</v>
      </c>
      <c r="N2" s="86" t="s">
        <v>161</v>
      </c>
      <c r="O2" s="86" t="s">
        <v>164</v>
      </c>
      <c r="P2" s="48" t="s">
        <v>163</v>
      </c>
      <c r="Q2" s="25" t="s">
        <v>165</v>
      </c>
      <c r="R2" s="26" t="s">
        <v>166</v>
      </c>
      <c r="S2" s="48" t="s">
        <v>167</v>
      </c>
      <c r="U2" s="206"/>
      <c r="V2" s="216"/>
      <c r="W2" s="206"/>
      <c r="X2" s="206"/>
      <c r="Y2" s="206"/>
      <c r="AA2" s="491"/>
    </row>
    <row r="3" spans="1:27" s="15" customFormat="1" x14ac:dyDescent="0.2">
      <c r="A3" s="29"/>
      <c r="B3" s="19"/>
      <c r="C3" s="19"/>
      <c r="D3" s="178"/>
      <c r="E3" s="59" t="s">
        <v>52</v>
      </c>
      <c r="F3" s="59" t="s">
        <v>53</v>
      </c>
      <c r="G3" s="59" t="s">
        <v>55</v>
      </c>
      <c r="H3" s="59" t="s">
        <v>54</v>
      </c>
      <c r="I3" s="59" t="s">
        <v>56</v>
      </c>
      <c r="J3" s="14" t="s">
        <v>57</v>
      </c>
      <c r="K3" s="23" t="s">
        <v>58</v>
      </c>
      <c r="L3" s="67" t="s">
        <v>59</v>
      </c>
      <c r="M3" s="45" t="s">
        <v>51</v>
      </c>
      <c r="N3" s="14" t="s">
        <v>125</v>
      </c>
      <c r="O3" s="59" t="s">
        <v>60</v>
      </c>
      <c r="P3" s="59" t="s">
        <v>162</v>
      </c>
      <c r="Q3" s="23" t="s">
        <v>61</v>
      </c>
      <c r="R3" s="14" t="s">
        <v>64</v>
      </c>
      <c r="S3" s="47" t="s">
        <v>65</v>
      </c>
      <c r="U3" s="47" t="s">
        <v>120</v>
      </c>
      <c r="V3" s="47" t="s">
        <v>144</v>
      </c>
      <c r="W3" s="47" t="s">
        <v>282</v>
      </c>
      <c r="X3" s="47" t="s">
        <v>283</v>
      </c>
      <c r="Y3" s="47" t="s">
        <v>331</v>
      </c>
      <c r="AA3" s="491"/>
    </row>
    <row r="4" spans="1:27" ht="92.25" customHeight="1" x14ac:dyDescent="0.2">
      <c r="B4" s="1" t="s">
        <v>0</v>
      </c>
      <c r="C4" s="1" t="s">
        <v>1</v>
      </c>
      <c r="D4" s="179" t="s">
        <v>294</v>
      </c>
      <c r="E4" s="60" t="s">
        <v>276</v>
      </c>
      <c r="F4" s="60" t="s">
        <v>279</v>
      </c>
      <c r="G4" s="60" t="s">
        <v>277</v>
      </c>
      <c r="H4" s="213" t="s">
        <v>278</v>
      </c>
      <c r="I4" s="60" t="s">
        <v>280</v>
      </c>
      <c r="J4" s="13" t="s">
        <v>67</v>
      </c>
      <c r="K4" s="20" t="s">
        <v>281</v>
      </c>
      <c r="L4" s="105" t="s">
        <v>154</v>
      </c>
      <c r="M4" s="40" t="s">
        <v>155</v>
      </c>
      <c r="N4" s="196" t="s">
        <v>285</v>
      </c>
      <c r="O4" s="60" t="s">
        <v>119</v>
      </c>
      <c r="P4" s="61" t="s">
        <v>286</v>
      </c>
      <c r="Q4" s="40" t="s">
        <v>287</v>
      </c>
      <c r="R4" s="31" t="s">
        <v>288</v>
      </c>
      <c r="S4" s="31" t="s">
        <v>289</v>
      </c>
      <c r="U4" s="174" t="s">
        <v>284</v>
      </c>
      <c r="V4" s="217" t="s">
        <v>329</v>
      </c>
      <c r="W4" s="423" t="s">
        <v>317</v>
      </c>
      <c r="X4" s="419" t="s">
        <v>316</v>
      </c>
      <c r="Y4" s="494" t="s">
        <v>332</v>
      </c>
    </row>
    <row r="5" spans="1:27" x14ac:dyDescent="0.2">
      <c r="B5" s="2"/>
      <c r="C5" s="2"/>
      <c r="D5" s="180"/>
      <c r="N5" s="17"/>
      <c r="O5" s="52"/>
      <c r="P5" s="62"/>
      <c r="Q5" s="41"/>
      <c r="R5" s="27"/>
      <c r="U5" s="175"/>
      <c r="V5" s="416"/>
      <c r="W5" s="424"/>
      <c r="X5" s="420"/>
      <c r="Y5" s="495"/>
    </row>
    <row r="6" spans="1:27" x14ac:dyDescent="0.2">
      <c r="A6">
        <v>1</v>
      </c>
      <c r="B6" s="10" t="s">
        <v>2</v>
      </c>
      <c r="C6" s="3" t="s">
        <v>133</v>
      </c>
      <c r="D6" s="181">
        <v>1944</v>
      </c>
      <c r="E6" s="92">
        <f>Instruction!L8</f>
        <v>5845971</v>
      </c>
      <c r="F6" s="92">
        <f>'Student&amp;Institutional Support'!S9</f>
        <v>3821316.8236247124</v>
      </c>
      <c r="G6" s="92">
        <f>Facilities!H9</f>
        <v>846396.58018966205</v>
      </c>
      <c r="H6" s="92">
        <f>'Student Success'!E7</f>
        <v>124000</v>
      </c>
      <c r="I6" s="92">
        <f>Research!H9</f>
        <v>32626.892824577626</v>
      </c>
      <c r="J6" s="8">
        <f t="shared" ref="J6:J35" si="0">SUM(E6:I6)</f>
        <v>10670311.296638951</v>
      </c>
      <c r="K6" s="9">
        <f t="shared" ref="K6:K35" si="1">+J6/$J$37</f>
        <v>1.7152699533128667E-2</v>
      </c>
      <c r="L6" s="69">
        <v>9511065.3528395128</v>
      </c>
      <c r="M6" s="50">
        <v>1.7284136179890962E-2</v>
      </c>
      <c r="N6" s="18">
        <f t="shared" ref="N6:N35" si="2">M6*$O$39</f>
        <v>4653740.4786397358</v>
      </c>
      <c r="O6" s="53">
        <f t="shared" ref="O6:O35" si="3">K6*$O$39</f>
        <v>4618351.2617851496</v>
      </c>
      <c r="P6" s="63">
        <f>N6+O6</f>
        <v>9272091.7404248863</v>
      </c>
      <c r="Q6" s="42">
        <f t="shared" ref="Q6:Q35" si="4">P6/$P$37</f>
        <v>1.7218417856509814E-2</v>
      </c>
      <c r="R6" s="38">
        <f>P6-L6</f>
        <v>-238973.6124146264</v>
      </c>
      <c r="S6" s="46">
        <f t="shared" ref="S6:S35" si="5">R6/L6</f>
        <v>-2.5125851158543582E-2</v>
      </c>
      <c r="U6" s="212">
        <v>970494</v>
      </c>
      <c r="V6" s="498">
        <v>141054.89114038454</v>
      </c>
      <c r="W6" s="425">
        <v>198885</v>
      </c>
      <c r="X6" s="421">
        <v>100000</v>
      </c>
      <c r="Y6" s="496"/>
      <c r="Z6" s="11"/>
    </row>
    <row r="7" spans="1:27" s="54" customFormat="1" x14ac:dyDescent="0.2">
      <c r="A7" s="54">
        <v>2</v>
      </c>
      <c r="B7" s="10" t="s">
        <v>4</v>
      </c>
      <c r="C7" s="3" t="s">
        <v>129</v>
      </c>
      <c r="D7" s="181">
        <f>5409+1300</f>
        <v>6709</v>
      </c>
      <c r="E7" s="92">
        <f>Instruction!L9</f>
        <v>16061089</v>
      </c>
      <c r="F7" s="92">
        <f>'Student&amp;Institutional Support'!S10</f>
        <v>9751327.6021801904</v>
      </c>
      <c r="G7" s="92">
        <f>Facilities!H10</f>
        <v>1326815.8833398893</v>
      </c>
      <c r="H7" s="92">
        <f>'Student Success'!E8</f>
        <v>20000</v>
      </c>
      <c r="I7" s="92">
        <f>Research!H10</f>
        <v>29156.791780488871</v>
      </c>
      <c r="J7" s="92">
        <f>SUM(E7:I7)</f>
        <v>27188389.27730057</v>
      </c>
      <c r="K7" s="137">
        <f t="shared" si="1"/>
        <v>4.3705779437772471E-2</v>
      </c>
      <c r="L7" s="92">
        <v>23602159.827882379</v>
      </c>
      <c r="M7" s="50">
        <v>4.2891403798721681E-2</v>
      </c>
      <c r="N7" s="53">
        <f t="shared" si="2"/>
        <v>11548477.746664714</v>
      </c>
      <c r="O7" s="53">
        <f t="shared" si="3"/>
        <v>11767747.766110526</v>
      </c>
      <c r="P7" s="63">
        <f t="shared" ref="P7:P34" si="6">N7+O7</f>
        <v>23316225.512775242</v>
      </c>
      <c r="Q7" s="138">
        <f t="shared" si="4"/>
        <v>4.3298591618247076E-2</v>
      </c>
      <c r="R7" s="38">
        <f t="shared" ref="R7:R35" si="7">P7-L7</f>
        <v>-285934.31510713696</v>
      </c>
      <c r="S7" s="139">
        <f t="shared" si="5"/>
        <v>-1.2114752090160361E-2</v>
      </c>
      <c r="U7" s="212">
        <v>3195617</v>
      </c>
      <c r="V7" s="498">
        <v>554684.7550606376</v>
      </c>
      <c r="W7" s="425">
        <v>638230</v>
      </c>
      <c r="X7" s="421">
        <v>100000</v>
      </c>
      <c r="Y7" s="496"/>
      <c r="Z7" s="11"/>
      <c r="AA7" s="493"/>
    </row>
    <row r="8" spans="1:27" ht="12" customHeight="1" x14ac:dyDescent="0.2">
      <c r="A8">
        <v>4</v>
      </c>
      <c r="B8" s="10" t="s">
        <v>5</v>
      </c>
      <c r="C8" s="3" t="s">
        <v>118</v>
      </c>
      <c r="D8" s="181">
        <f>575+4338</f>
        <v>4913</v>
      </c>
      <c r="E8" s="92">
        <f>Instruction!L10</f>
        <v>13130116.995000001</v>
      </c>
      <c r="F8" s="92">
        <f>'Student&amp;Institutional Support'!S11</f>
        <v>9302532.8838038612</v>
      </c>
      <c r="G8" s="92">
        <f>Facilities!H11</f>
        <v>1274424.1586581999</v>
      </c>
      <c r="H8" s="92">
        <f>'Student Success'!E9</f>
        <v>70000</v>
      </c>
      <c r="I8" s="92">
        <f>Research!H11</f>
        <v>22701.049318171365</v>
      </c>
      <c r="J8" s="8">
        <f t="shared" si="0"/>
        <v>23799775.086780235</v>
      </c>
      <c r="K8" s="9">
        <f t="shared" si="1"/>
        <v>3.825852682931298E-2</v>
      </c>
      <c r="L8" s="69">
        <v>20653251.428606793</v>
      </c>
      <c r="M8" s="50">
        <v>3.7532452675555793E-2</v>
      </c>
      <c r="N8" s="18">
        <f t="shared" si="2"/>
        <v>10105584.245632006</v>
      </c>
      <c r="O8" s="53">
        <f t="shared" si="3"/>
        <v>10301079.157536549</v>
      </c>
      <c r="P8" s="63">
        <f t="shared" si="6"/>
        <v>20406663.403168555</v>
      </c>
      <c r="Q8" s="42">
        <f t="shared" si="4"/>
        <v>3.789548975243439E-2</v>
      </c>
      <c r="R8" s="38">
        <f t="shared" si="7"/>
        <v>-246588.02543823794</v>
      </c>
      <c r="S8" s="46">
        <f t="shared" si="5"/>
        <v>-1.1939428825075414E-2</v>
      </c>
      <c r="U8" s="212">
        <v>1930629</v>
      </c>
      <c r="V8" s="498">
        <v>306989.13423796208</v>
      </c>
      <c r="W8" s="425">
        <v>66069</v>
      </c>
      <c r="X8" s="421">
        <v>100000</v>
      </c>
      <c r="Y8" s="496"/>
      <c r="Z8" s="11"/>
    </row>
    <row r="9" spans="1:27" x14ac:dyDescent="0.2">
      <c r="A9">
        <v>3</v>
      </c>
      <c r="B9" s="37" t="s">
        <v>6</v>
      </c>
      <c r="C9" s="3" t="s">
        <v>7</v>
      </c>
      <c r="D9" s="181">
        <v>2612</v>
      </c>
      <c r="E9" s="92">
        <f>Instruction!L11</f>
        <v>7457394.5</v>
      </c>
      <c r="F9" s="92">
        <f>'Student&amp;Institutional Support'!S12</f>
        <v>5167719.8206240144</v>
      </c>
      <c r="G9" s="92">
        <f>Facilities!H12</f>
        <v>1140064.476923205</v>
      </c>
      <c r="H9" s="92">
        <f>'Student Success'!E10</f>
        <v>48000</v>
      </c>
      <c r="I9" s="92">
        <f>Research!H12</f>
        <v>20371.147891282177</v>
      </c>
      <c r="J9" s="8">
        <f t="shared" si="0"/>
        <v>13833549.945438502</v>
      </c>
      <c r="K9" s="9">
        <f t="shared" si="1"/>
        <v>2.2237657280474749E-2</v>
      </c>
      <c r="L9" s="69">
        <v>12556842.448202303</v>
      </c>
      <c r="M9" s="50">
        <v>2.2819123495915083E-2</v>
      </c>
      <c r="N9" s="18">
        <f t="shared" si="2"/>
        <v>6144031.5902839089</v>
      </c>
      <c r="O9" s="53">
        <f t="shared" si="3"/>
        <v>5987472.2554353215</v>
      </c>
      <c r="P9" s="63">
        <f t="shared" si="6"/>
        <v>12131503.845719229</v>
      </c>
      <c r="Q9" s="42">
        <f t="shared" si="4"/>
        <v>2.2528390388194916E-2</v>
      </c>
      <c r="R9" s="38">
        <f t="shared" si="7"/>
        <v>-425338.60248307325</v>
      </c>
      <c r="S9" s="46">
        <f t="shared" si="5"/>
        <v>-3.3873054013189977E-2</v>
      </c>
      <c r="U9" s="212">
        <v>989571</v>
      </c>
      <c r="V9" s="498">
        <v>202990.93387616059</v>
      </c>
      <c r="W9" s="425">
        <v>201164</v>
      </c>
      <c r="X9" s="421">
        <v>200000</v>
      </c>
      <c r="Y9" s="496"/>
      <c r="Z9" s="481"/>
    </row>
    <row r="10" spans="1:27" x14ac:dyDescent="0.2">
      <c r="A10">
        <v>3</v>
      </c>
      <c r="B10" s="37" t="s">
        <v>8</v>
      </c>
      <c r="C10" s="3" t="s">
        <v>9</v>
      </c>
      <c r="D10" s="181">
        <v>5978</v>
      </c>
      <c r="E10" s="92">
        <f>Instruction!L12</f>
        <v>14561725</v>
      </c>
      <c r="F10" s="92">
        <f>'Student&amp;Institutional Support'!S13</f>
        <v>8364885.790973979</v>
      </c>
      <c r="G10" s="92">
        <f>Facilities!H13</f>
        <v>1106467.115522316</v>
      </c>
      <c r="H10" s="92">
        <f>'Student Success'!E11</f>
        <v>552000</v>
      </c>
      <c r="I10" s="92">
        <f>Research!H13</f>
        <v>71656.789859440454</v>
      </c>
      <c r="J10" s="8">
        <f t="shared" si="0"/>
        <v>24656734.696355738</v>
      </c>
      <c r="K10" s="9">
        <f t="shared" si="1"/>
        <v>3.9636103386025613E-2</v>
      </c>
      <c r="L10" s="69">
        <v>21174818.135579005</v>
      </c>
      <c r="M10" s="50">
        <v>3.848027814576073E-2</v>
      </c>
      <c r="N10" s="18">
        <f>M10*$O$39</f>
        <v>10360785.530293852</v>
      </c>
      <c r="O10" s="53">
        <f t="shared" si="3"/>
        <v>10671990.594340513</v>
      </c>
      <c r="P10" s="63">
        <f t="shared" si="6"/>
        <v>21032776.124634363</v>
      </c>
      <c r="Q10" s="42">
        <f t="shared" si="4"/>
        <v>3.9058190765893168E-2</v>
      </c>
      <c r="R10" s="38">
        <f t="shared" si="7"/>
        <v>-142042.01094464213</v>
      </c>
      <c r="S10" s="46">
        <f t="shared" si="5"/>
        <v>-6.7080628525435088E-3</v>
      </c>
      <c r="U10" s="212">
        <v>3075603</v>
      </c>
      <c r="V10" s="498">
        <v>482023.89492930222</v>
      </c>
      <c r="W10" s="425">
        <v>630463</v>
      </c>
      <c r="X10" s="421"/>
      <c r="Y10" s="496"/>
      <c r="Z10" s="11"/>
    </row>
    <row r="11" spans="1:27" s="54" customFormat="1" x14ac:dyDescent="0.2">
      <c r="A11" s="54">
        <v>1</v>
      </c>
      <c r="B11" s="37" t="s">
        <v>10</v>
      </c>
      <c r="C11" s="3" t="s">
        <v>156</v>
      </c>
      <c r="D11" s="181">
        <f>1884+3263</f>
        <v>5147</v>
      </c>
      <c r="E11" s="92">
        <f>Instruction!L13</f>
        <v>14092086</v>
      </c>
      <c r="F11" s="92">
        <f>'Student&amp;Institutional Support'!S14</f>
        <v>8232346.3010910302</v>
      </c>
      <c r="G11" s="92">
        <f>Facilities!H14</f>
        <v>1394817.3883310275</v>
      </c>
      <c r="H11" s="92">
        <f>'Student Success'!E12</f>
        <v>298000</v>
      </c>
      <c r="I11" s="92">
        <f>Research!H14</f>
        <v>194503.20530602682</v>
      </c>
      <c r="J11" s="92">
        <f t="shared" si="0"/>
        <v>24211752.894728083</v>
      </c>
      <c r="K11" s="137">
        <f t="shared" si="1"/>
        <v>3.8920787878460844E-2</v>
      </c>
      <c r="L11" s="92">
        <v>21781363.342521459</v>
      </c>
      <c r="M11" s="50">
        <v>3.9582532159074139E-2</v>
      </c>
      <c r="N11" s="53">
        <f>M11*$O$39</f>
        <v>10657566.582358675</v>
      </c>
      <c r="O11" s="53">
        <f t="shared" si="3"/>
        <v>10479392.439714432</v>
      </c>
      <c r="P11" s="63">
        <f t="shared" si="6"/>
        <v>21136959.022073105</v>
      </c>
      <c r="Q11" s="138">
        <f t="shared" si="4"/>
        <v>3.9251660018767488E-2</v>
      </c>
      <c r="R11" s="312">
        <f t="shared" si="7"/>
        <v>-644404.32044835389</v>
      </c>
      <c r="S11" s="139">
        <f t="shared" si="5"/>
        <v>-2.9585123314588454E-2</v>
      </c>
      <c r="U11" s="415">
        <f>984870+1668282</f>
        <v>2653152</v>
      </c>
      <c r="V11" s="498">
        <v>375553.77766361076</v>
      </c>
      <c r="W11" s="426">
        <f>211172+338945</f>
        <v>550117</v>
      </c>
      <c r="X11" s="422"/>
      <c r="Y11" s="497"/>
      <c r="Z11" s="11"/>
      <c r="AA11" s="493"/>
    </row>
    <row r="12" spans="1:27" x14ac:dyDescent="0.2">
      <c r="A12">
        <v>2</v>
      </c>
      <c r="B12" s="37" t="s">
        <v>12</v>
      </c>
      <c r="C12" s="3" t="s">
        <v>13</v>
      </c>
      <c r="D12" s="181">
        <v>1121</v>
      </c>
      <c r="E12" s="92">
        <f>Instruction!L14</f>
        <v>2697002</v>
      </c>
      <c r="F12" s="92">
        <f>'Student&amp;Institutional Support'!S15</f>
        <v>2987944.5413838332</v>
      </c>
      <c r="G12" s="92">
        <f>Facilities!H15</f>
        <v>303618.92711200088</v>
      </c>
      <c r="H12" s="92">
        <f>'Student Success'!E13</f>
        <v>0</v>
      </c>
      <c r="I12" s="92">
        <f>Research!H15</f>
        <v>10641.142107900982</v>
      </c>
      <c r="J12" s="8">
        <f t="shared" si="0"/>
        <v>5999206.6106037349</v>
      </c>
      <c r="K12" s="9">
        <f t="shared" si="1"/>
        <v>9.6438225247709938E-3</v>
      </c>
      <c r="L12" s="69">
        <v>4854416.9318950372</v>
      </c>
      <c r="M12" s="50">
        <v>8.8217670904545686E-3</v>
      </c>
      <c r="N12" s="18">
        <f>M12*$O$39</f>
        <v>2375254.0580966026</v>
      </c>
      <c r="O12" s="53">
        <f t="shared" si="3"/>
        <v>2596591.8565580035</v>
      </c>
      <c r="P12" s="63">
        <f t="shared" si="6"/>
        <v>4971845.914654606</v>
      </c>
      <c r="Q12" s="42">
        <f t="shared" si="4"/>
        <v>9.2327948076127812E-3</v>
      </c>
      <c r="R12" s="38">
        <f t="shared" si="7"/>
        <v>117428.98275956884</v>
      </c>
      <c r="S12" s="46">
        <f t="shared" si="5"/>
        <v>2.4190131257169879E-2</v>
      </c>
      <c r="U12" s="212">
        <v>341523</v>
      </c>
      <c r="V12" s="498">
        <v>88925.744143973192</v>
      </c>
      <c r="W12" s="425">
        <v>69348</v>
      </c>
      <c r="X12" s="421">
        <v>100000</v>
      </c>
      <c r="Y12" s="496"/>
      <c r="Z12" s="481"/>
    </row>
    <row r="13" spans="1:27" x14ac:dyDescent="0.2">
      <c r="A13">
        <v>1</v>
      </c>
      <c r="B13" s="37" t="s">
        <v>14</v>
      </c>
      <c r="C13" s="3" t="s">
        <v>145</v>
      </c>
      <c r="D13" s="181">
        <v>3505</v>
      </c>
      <c r="E13" s="92">
        <f>Instruction!L15</f>
        <v>11319780</v>
      </c>
      <c r="F13" s="92">
        <f>'Student&amp;Institutional Support'!S16</f>
        <v>6744734.323464971</v>
      </c>
      <c r="G13" s="92">
        <f>Facilities!H16</f>
        <v>1661312.6561063195</v>
      </c>
      <c r="H13" s="92">
        <f>'Student Success'!E14</f>
        <v>0</v>
      </c>
      <c r="I13" s="92">
        <f>Research!H16</f>
        <v>0</v>
      </c>
      <c r="J13" s="8">
        <f t="shared" si="0"/>
        <v>19725826.97957129</v>
      </c>
      <c r="K13" s="9">
        <f t="shared" si="1"/>
        <v>3.1709588766135326E-2</v>
      </c>
      <c r="L13" s="69">
        <v>17976533.458158836</v>
      </c>
      <c r="M13" s="50">
        <v>3.266814397825811E-2</v>
      </c>
      <c r="N13" s="18">
        <f t="shared" si="2"/>
        <v>8795872.8403521404</v>
      </c>
      <c r="O13" s="53">
        <f t="shared" si="3"/>
        <v>8537782.5808657072</v>
      </c>
      <c r="P13" s="63">
        <f t="shared" si="6"/>
        <v>17333655.421217848</v>
      </c>
      <c r="Q13" s="42">
        <f t="shared" si="4"/>
        <v>3.2188866372196714E-2</v>
      </c>
      <c r="R13" s="38">
        <f t="shared" si="7"/>
        <v>-642878.03694098815</v>
      </c>
      <c r="S13" s="46">
        <f t="shared" si="5"/>
        <v>-3.5762069391037751E-2</v>
      </c>
      <c r="U13" s="212">
        <v>1773703</v>
      </c>
      <c r="V13" s="498">
        <v>306567.6415716504</v>
      </c>
      <c r="W13" s="425">
        <v>355713</v>
      </c>
      <c r="X13" s="421"/>
      <c r="Y13" s="496"/>
      <c r="Z13" s="11"/>
    </row>
    <row r="14" spans="1:27" x14ac:dyDescent="0.2">
      <c r="A14">
        <v>3</v>
      </c>
      <c r="B14" s="37" t="s">
        <v>16</v>
      </c>
      <c r="C14" s="3" t="s">
        <v>17</v>
      </c>
      <c r="D14" s="181">
        <v>3160</v>
      </c>
      <c r="E14" s="92">
        <f>Instruction!L16</f>
        <v>8923861.5</v>
      </c>
      <c r="F14" s="92">
        <f>'Student&amp;Institutional Support'!S17</f>
        <v>5585524.0326523669</v>
      </c>
      <c r="G14" s="92">
        <f>Facilities!H17</f>
        <v>656310.78013359173</v>
      </c>
      <c r="H14" s="92">
        <f>'Student Success'!E15</f>
        <v>12000</v>
      </c>
      <c r="I14" s="92">
        <f>Research!H17</f>
        <v>5767.224662087423</v>
      </c>
      <c r="J14" s="8">
        <f t="shared" si="0"/>
        <v>15183463.537448047</v>
      </c>
      <c r="K14" s="9">
        <f t="shared" si="1"/>
        <v>2.4407665408233838E-2</v>
      </c>
      <c r="L14" s="69">
        <v>13097321.473598704</v>
      </c>
      <c r="M14" s="50">
        <v>2.3801317680348606E-2</v>
      </c>
      <c r="N14" s="18">
        <f t="shared" si="2"/>
        <v>6408486.6250284724</v>
      </c>
      <c r="O14" s="53">
        <f t="shared" si="3"/>
        <v>6571745.2881182544</v>
      </c>
      <c r="P14" s="63">
        <f t="shared" si="6"/>
        <v>12980231.913146727</v>
      </c>
      <c r="Q14" s="42">
        <f t="shared" si="4"/>
        <v>2.4104491544291222E-2</v>
      </c>
      <c r="R14" s="38">
        <f t="shared" si="7"/>
        <v>-117089.56045197695</v>
      </c>
      <c r="S14" s="46">
        <f t="shared" si="5"/>
        <v>-8.9399623188606576E-3</v>
      </c>
      <c r="U14" s="212">
        <v>1476144</v>
      </c>
      <c r="V14" s="498">
        <v>248566.5678014211</v>
      </c>
      <c r="W14" s="425">
        <v>280009</v>
      </c>
      <c r="X14" s="421">
        <v>100000</v>
      </c>
      <c r="Y14" s="496"/>
      <c r="Z14" s="11"/>
    </row>
    <row r="15" spans="1:27" x14ac:dyDescent="0.2">
      <c r="A15">
        <v>4</v>
      </c>
      <c r="B15" s="37" t="s">
        <v>18</v>
      </c>
      <c r="C15" s="3" t="s">
        <v>146</v>
      </c>
      <c r="D15" s="181">
        <v>6168</v>
      </c>
      <c r="E15" s="92">
        <f>Instruction!L17</f>
        <v>18185087.73</v>
      </c>
      <c r="F15" s="92">
        <f>'Student&amp;Institutional Support'!S18</f>
        <v>11432796.746992622</v>
      </c>
      <c r="G15" s="92">
        <f>Facilities!H18</f>
        <v>468032.90895880881</v>
      </c>
      <c r="H15" s="92">
        <f>'Student Success'!E16</f>
        <v>0</v>
      </c>
      <c r="I15" s="92">
        <f>Research!H18</f>
        <v>12766.457235142085</v>
      </c>
      <c r="J15" s="8">
        <f t="shared" si="0"/>
        <v>30098683.843186572</v>
      </c>
      <c r="K15" s="9">
        <f t="shared" si="1"/>
        <v>4.8384125444159737E-2</v>
      </c>
      <c r="L15" s="69">
        <v>25231817.625267725</v>
      </c>
      <c r="M15" s="50">
        <v>4.5852925589571346E-2</v>
      </c>
      <c r="N15" s="18">
        <f t="shared" si="2"/>
        <v>12345865.229209861</v>
      </c>
      <c r="O15" s="53">
        <f t="shared" si="3"/>
        <v>13027388.858752295</v>
      </c>
      <c r="P15" s="63">
        <f t="shared" si="6"/>
        <v>25373254.087962158</v>
      </c>
      <c r="Q15" s="42">
        <f t="shared" si="4"/>
        <v>4.7118525516865545E-2</v>
      </c>
      <c r="R15" s="38">
        <f t="shared" si="7"/>
        <v>141436.46269443259</v>
      </c>
      <c r="S15" s="46">
        <f t="shared" si="5"/>
        <v>5.6054805402839802E-3</v>
      </c>
      <c r="U15" s="212">
        <v>2279805</v>
      </c>
      <c r="V15" s="498">
        <v>440169.09635180049</v>
      </c>
      <c r="W15" s="425">
        <v>0</v>
      </c>
      <c r="X15" s="421"/>
      <c r="Y15" s="496"/>
      <c r="Z15" s="11"/>
    </row>
    <row r="16" spans="1:27" x14ac:dyDescent="0.2">
      <c r="A16">
        <v>3</v>
      </c>
      <c r="B16" s="37" t="s">
        <v>19</v>
      </c>
      <c r="C16" s="3" t="s">
        <v>134</v>
      </c>
      <c r="D16" s="181">
        <v>5074</v>
      </c>
      <c r="E16" s="92">
        <f>Instruction!L18</f>
        <v>12691139.5</v>
      </c>
      <c r="F16" s="92">
        <f>'Student&amp;Institutional Support'!S19</f>
        <v>8189699.204801105</v>
      </c>
      <c r="G16" s="92">
        <f>Facilities!H19</f>
        <v>1611467.4987098228</v>
      </c>
      <c r="H16" s="92">
        <f>'Student Success'!E17</f>
        <v>20000</v>
      </c>
      <c r="I16" s="92">
        <f>Research!H19</f>
        <v>0</v>
      </c>
      <c r="J16" s="8">
        <f t="shared" si="0"/>
        <v>22512306.203510929</v>
      </c>
      <c r="K16" s="9">
        <f t="shared" si="1"/>
        <v>3.6188899589859595E-2</v>
      </c>
      <c r="L16" s="69">
        <v>20185005.298653178</v>
      </c>
      <c r="M16" s="50">
        <v>3.668152487981638E-2</v>
      </c>
      <c r="N16" s="18">
        <f t="shared" si="2"/>
        <v>9876472.5858870763</v>
      </c>
      <c r="O16" s="53">
        <f t="shared" si="3"/>
        <v>9743833.6024393085</v>
      </c>
      <c r="P16" s="63">
        <f t="shared" si="6"/>
        <v>19620306.188326385</v>
      </c>
      <c r="Q16" s="42">
        <f t="shared" si="4"/>
        <v>3.6435212234837984E-2</v>
      </c>
      <c r="R16" s="38">
        <f t="shared" si="7"/>
        <v>-564699.11032679304</v>
      </c>
      <c r="S16" s="46">
        <f t="shared" si="5"/>
        <v>-2.7976168545493122E-2</v>
      </c>
      <c r="U16" s="212">
        <v>2594556</v>
      </c>
      <c r="V16" s="498">
        <v>474866.2841677976</v>
      </c>
      <c r="W16" s="425">
        <v>516035</v>
      </c>
      <c r="X16" s="421"/>
      <c r="Y16" s="496"/>
      <c r="Z16" s="11"/>
    </row>
    <row r="17" spans="1:26" ht="12" customHeight="1" x14ac:dyDescent="0.2">
      <c r="A17">
        <v>1</v>
      </c>
      <c r="B17" s="37" t="s">
        <v>21</v>
      </c>
      <c r="C17" s="121" t="s">
        <v>188</v>
      </c>
      <c r="D17" s="181">
        <v>1286</v>
      </c>
      <c r="E17" s="92">
        <f>Instruction!L19</f>
        <v>4364644.5</v>
      </c>
      <c r="F17" s="92">
        <f>'Student&amp;Institutional Support'!S20</f>
        <v>3403806.2764043165</v>
      </c>
      <c r="G17" s="92">
        <f>Facilities!H20</f>
        <v>543948.78065223107</v>
      </c>
      <c r="H17" s="92">
        <f>'Student Success'!E18</f>
        <v>298000</v>
      </c>
      <c r="I17" s="92">
        <f>Research!H20</f>
        <v>0</v>
      </c>
      <c r="J17" s="8">
        <f t="shared" si="0"/>
        <v>8610399.5570565481</v>
      </c>
      <c r="K17" s="9">
        <f t="shared" si="1"/>
        <v>1.3841357797021033E-2</v>
      </c>
      <c r="L17" s="69">
        <v>7504597.706144819</v>
      </c>
      <c r="M17" s="50">
        <v>1.3637850641997695E-2</v>
      </c>
      <c r="N17" s="18">
        <f t="shared" si="2"/>
        <v>3671980.8796778396</v>
      </c>
      <c r="O17" s="53">
        <f t="shared" si="3"/>
        <v>3726775.025891914</v>
      </c>
      <c r="P17" s="63">
        <f t="shared" si="6"/>
        <v>7398755.9055697536</v>
      </c>
      <c r="Q17" s="42">
        <f t="shared" si="4"/>
        <v>1.3739604219509365E-2</v>
      </c>
      <c r="R17" s="38">
        <f t="shared" si="7"/>
        <v>-105841.80057506543</v>
      </c>
      <c r="S17" s="46">
        <f t="shared" si="5"/>
        <v>-1.4103594185788453E-2</v>
      </c>
      <c r="U17" s="212">
        <v>641484</v>
      </c>
      <c r="V17" s="498">
        <v>105616.28637309781</v>
      </c>
      <c r="W17" s="425">
        <v>136362</v>
      </c>
      <c r="X17" s="421">
        <v>200000</v>
      </c>
      <c r="Y17" s="496"/>
      <c r="Z17" s="11"/>
    </row>
    <row r="18" spans="1:26" ht="12" customHeight="1" x14ac:dyDescent="0.2">
      <c r="B18" s="37" t="s">
        <v>114</v>
      </c>
      <c r="C18" s="3" t="s">
        <v>147</v>
      </c>
      <c r="D18" s="181">
        <v>4202</v>
      </c>
      <c r="E18" s="92">
        <f>Instruction!L20</f>
        <v>11873070</v>
      </c>
      <c r="F18" s="92">
        <f>'Student&amp;Institutional Support'!S21</f>
        <v>7029027.064951377</v>
      </c>
      <c r="G18" s="92">
        <f>Facilities!H21</f>
        <v>1251983.7957369026</v>
      </c>
      <c r="H18" s="92">
        <f>'Student Success'!E19</f>
        <v>70000</v>
      </c>
      <c r="I18" s="92">
        <f>Research!H21</f>
        <v>12847.147014920971</v>
      </c>
      <c r="J18" s="8">
        <f t="shared" si="0"/>
        <v>20236928.007703196</v>
      </c>
      <c r="K18" s="9">
        <f t="shared" si="1"/>
        <v>3.2531192009274186E-2</v>
      </c>
      <c r="L18" s="69">
        <v>18416624.163454115</v>
      </c>
      <c r="M18" s="50">
        <v>3.3467905876598654E-2</v>
      </c>
      <c r="N18" s="18">
        <f t="shared" si="2"/>
        <v>9011208.1212620046</v>
      </c>
      <c r="O18" s="53">
        <f t="shared" si="3"/>
        <v>8758998.6271975711</v>
      </c>
      <c r="P18" s="63">
        <f t="shared" si="6"/>
        <v>17770206.748459578</v>
      </c>
      <c r="Q18" s="42">
        <f t="shared" si="4"/>
        <v>3.2999548942936427E-2</v>
      </c>
      <c r="R18" s="38">
        <f t="shared" si="7"/>
        <v>-646417.41499453783</v>
      </c>
      <c r="S18" s="46">
        <f t="shared" si="5"/>
        <v>-3.5099669149858979E-2</v>
      </c>
      <c r="U18" s="212">
        <v>1910003</v>
      </c>
      <c r="V18" s="498">
        <v>345512.10361173667</v>
      </c>
      <c r="W18" s="425">
        <v>391963</v>
      </c>
      <c r="X18" s="421">
        <v>300000</v>
      </c>
      <c r="Y18" s="496"/>
      <c r="Z18" s="11"/>
    </row>
    <row r="19" spans="1:26" x14ac:dyDescent="0.2">
      <c r="A19">
        <v>4</v>
      </c>
      <c r="B19" s="37" t="s">
        <v>26</v>
      </c>
      <c r="C19" s="3" t="s">
        <v>62</v>
      </c>
      <c r="D19" s="181">
        <v>5378</v>
      </c>
      <c r="E19" s="92">
        <f>Instruction!L21</f>
        <v>16386956.725</v>
      </c>
      <c r="F19" s="92">
        <f>'Student&amp;Institutional Support'!S22</f>
        <v>9856765.5821659155</v>
      </c>
      <c r="G19" s="92">
        <f>Facilities!H22</f>
        <v>1559054.1417757168</v>
      </c>
      <c r="H19" s="92">
        <f>'Student Success'!E20</f>
        <v>14000</v>
      </c>
      <c r="I19" s="92">
        <f>Research!H22</f>
        <v>173706.19592307491</v>
      </c>
      <c r="J19" s="8">
        <f t="shared" si="0"/>
        <v>27990482.644864704</v>
      </c>
      <c r="K19" s="9">
        <f t="shared" si="1"/>
        <v>4.4995157615115487E-2</v>
      </c>
      <c r="L19" s="69">
        <v>26364115.060192276</v>
      </c>
      <c r="M19" s="50">
        <v>4.7910611278329053E-2</v>
      </c>
      <c r="N19" s="18">
        <f t="shared" si="2"/>
        <v>12899895.530893693</v>
      </c>
      <c r="O19" s="53">
        <f t="shared" si="3"/>
        <v>12114911.856564585</v>
      </c>
      <c r="P19" s="63">
        <f t="shared" si="6"/>
        <v>25014807.38745828</v>
      </c>
      <c r="Q19" s="42">
        <f t="shared" si="4"/>
        <v>4.6452884446722277E-2</v>
      </c>
      <c r="R19" s="38">
        <f t="shared" si="7"/>
        <v>-1349307.6727339961</v>
      </c>
      <c r="S19" s="46">
        <f t="shared" si="5"/>
        <v>-5.1179706569075924E-2</v>
      </c>
      <c r="U19" s="212">
        <v>1923966</v>
      </c>
      <c r="V19" s="498">
        <v>267391.4068726477</v>
      </c>
      <c r="W19" s="425">
        <v>0</v>
      </c>
      <c r="X19" s="421"/>
      <c r="Y19" s="496">
        <v>81682</v>
      </c>
      <c r="Z19" s="11"/>
    </row>
    <row r="20" spans="1:26" x14ac:dyDescent="0.2">
      <c r="A20">
        <v>4</v>
      </c>
      <c r="B20" s="37" t="s">
        <v>22</v>
      </c>
      <c r="C20" s="3" t="s">
        <v>23</v>
      </c>
      <c r="D20" s="181">
        <v>13657</v>
      </c>
      <c r="E20" s="92">
        <f>Instruction!L22</f>
        <v>36137980.344999999</v>
      </c>
      <c r="F20" s="92">
        <f>'Student&amp;Institutional Support'!S23</f>
        <v>17780181.389162093</v>
      </c>
      <c r="G20" s="92">
        <f>Facilities!H23</f>
        <v>2038480.1387020918</v>
      </c>
      <c r="H20" s="92">
        <f>'Student Success'!E21</f>
        <v>8000</v>
      </c>
      <c r="I20" s="92">
        <f>Research!H23</f>
        <v>838094.46673448128</v>
      </c>
      <c r="J20" s="8">
        <f t="shared" si="0"/>
        <v>56802736.339598671</v>
      </c>
      <c r="K20" s="9">
        <f t="shared" si="1"/>
        <v>9.1311325602990309E-2</v>
      </c>
      <c r="L20" s="69">
        <v>50580701.748067081</v>
      </c>
      <c r="M20" s="50">
        <v>9.1918592150882036E-2</v>
      </c>
      <c r="N20" s="18">
        <f t="shared" si="2"/>
        <v>24749010.802739177</v>
      </c>
      <c r="O20" s="53">
        <f t="shared" si="3"/>
        <v>24585504.748063706</v>
      </c>
      <c r="P20" s="63">
        <f t="shared" si="6"/>
        <v>49334515.550802886</v>
      </c>
      <c r="Q20" s="42">
        <f t="shared" si="4"/>
        <v>9.1614958876936173E-2</v>
      </c>
      <c r="R20" s="38">
        <f t="shared" si="7"/>
        <v>-1246186.1972641945</v>
      </c>
      <c r="S20" s="46">
        <f t="shared" si="5"/>
        <v>-2.4637582204201366E-2</v>
      </c>
      <c r="U20" s="212">
        <v>4866360</v>
      </c>
      <c r="V20" s="498">
        <v>629705.19380213413</v>
      </c>
      <c r="W20" s="425">
        <v>0</v>
      </c>
      <c r="X20" s="421"/>
      <c r="Y20" s="496"/>
      <c r="Z20" s="11"/>
    </row>
    <row r="21" spans="1:26" x14ac:dyDescent="0.2">
      <c r="A21">
        <v>3</v>
      </c>
      <c r="B21" s="37" t="s">
        <v>24</v>
      </c>
      <c r="C21" s="3" t="s">
        <v>143</v>
      </c>
      <c r="D21" s="181">
        <v>1895</v>
      </c>
      <c r="E21" s="92">
        <f>Instruction!L23</f>
        <v>6154621</v>
      </c>
      <c r="F21" s="92">
        <f>'Student&amp;Institutional Support'!S24</f>
        <v>4529440.6922070999</v>
      </c>
      <c r="G21" s="92">
        <f>Facilities!H24</f>
        <v>1001221.2158334154</v>
      </c>
      <c r="H21" s="92">
        <f>'Student Success'!E22</f>
        <v>590000</v>
      </c>
      <c r="I21" s="92">
        <f>Research!H24</f>
        <v>213075.26229649477</v>
      </c>
      <c r="J21" s="8">
        <f t="shared" si="0"/>
        <v>12488358.17033701</v>
      </c>
      <c r="K21" s="9">
        <f t="shared" si="1"/>
        <v>2.0075239550448456E-2</v>
      </c>
      <c r="L21" s="69">
        <v>10422932.170408424</v>
      </c>
      <c r="M21" s="50">
        <v>1.8941240791003688E-2</v>
      </c>
      <c r="N21" s="18">
        <f t="shared" si="2"/>
        <v>5099914.6308110198</v>
      </c>
      <c r="O21" s="53">
        <f t="shared" si="3"/>
        <v>5405242.9315504702</v>
      </c>
      <c r="P21" s="63">
        <f t="shared" si="6"/>
        <v>10505157.56236149</v>
      </c>
      <c r="Q21" s="42">
        <f t="shared" si="4"/>
        <v>1.9508240170726072E-2</v>
      </c>
      <c r="R21" s="38">
        <f t="shared" si="7"/>
        <v>82225.391953065991</v>
      </c>
      <c r="S21" s="46">
        <f t="shared" si="5"/>
        <v>7.8888925504581858E-3</v>
      </c>
      <c r="U21" s="212">
        <v>936411</v>
      </c>
      <c r="V21" s="498">
        <v>182634.15000316181</v>
      </c>
      <c r="W21" s="425">
        <v>203509</v>
      </c>
      <c r="X21" s="421">
        <v>300000</v>
      </c>
      <c r="Y21" s="496"/>
      <c r="Z21" s="11"/>
    </row>
    <row r="22" spans="1:26" x14ac:dyDescent="0.2">
      <c r="A22">
        <v>2</v>
      </c>
      <c r="B22" s="37" t="s">
        <v>27</v>
      </c>
      <c r="C22" s="3" t="s">
        <v>137</v>
      </c>
      <c r="D22" s="181">
        <v>6915</v>
      </c>
      <c r="E22" s="92">
        <f>Instruction!L24</f>
        <v>14249960</v>
      </c>
      <c r="F22" s="92">
        <f>'Student&amp;Institutional Support'!S25</f>
        <v>8233849.4727116795</v>
      </c>
      <c r="G22" s="92">
        <f>Facilities!H25</f>
        <v>733588.03131535498</v>
      </c>
      <c r="H22" s="92">
        <f>'Student Success'!E23</f>
        <v>0</v>
      </c>
      <c r="I22" s="92">
        <f>Research!H25</f>
        <v>0</v>
      </c>
      <c r="J22" s="8">
        <f t="shared" si="0"/>
        <v>23217397.504027035</v>
      </c>
      <c r="K22" s="9">
        <f t="shared" si="1"/>
        <v>3.7322345361491885E-2</v>
      </c>
      <c r="L22" s="69">
        <v>19621425.679420479</v>
      </c>
      <c r="M22" s="50">
        <v>3.5657350770433256E-2</v>
      </c>
      <c r="N22" s="18">
        <f t="shared" si="2"/>
        <v>9600714.4883805159</v>
      </c>
      <c r="O22" s="53">
        <f t="shared" si="3"/>
        <v>10049013.01163218</v>
      </c>
      <c r="P22" s="63">
        <f t="shared" si="6"/>
        <v>19649727.500012696</v>
      </c>
      <c r="Q22" s="42">
        <f t="shared" si="4"/>
        <v>3.6489848065962574E-2</v>
      </c>
      <c r="R22" s="38">
        <f t="shared" si="7"/>
        <v>28301.820592217147</v>
      </c>
      <c r="S22" s="46">
        <f t="shared" si="5"/>
        <v>1.4423936901741508E-3</v>
      </c>
      <c r="U22" s="212">
        <v>3542635</v>
      </c>
      <c r="V22" s="498">
        <v>545668.50064311828</v>
      </c>
      <c r="W22" s="425">
        <v>729778</v>
      </c>
      <c r="X22" s="421"/>
      <c r="Y22" s="496"/>
      <c r="Z22" s="11"/>
    </row>
    <row r="23" spans="1:26" ht="14.25" customHeight="1" x14ac:dyDescent="0.2">
      <c r="A23">
        <v>2</v>
      </c>
      <c r="B23" s="37" t="s">
        <v>29</v>
      </c>
      <c r="C23" s="3" t="s">
        <v>138</v>
      </c>
      <c r="D23" s="181">
        <v>4198</v>
      </c>
      <c r="E23" s="92">
        <f>Instruction!L25</f>
        <v>10350322.5</v>
      </c>
      <c r="F23" s="92">
        <f>'Student&amp;Institutional Support'!S26</f>
        <v>6268346.9442767054</v>
      </c>
      <c r="G23" s="92">
        <f>Facilities!H26</f>
        <v>707077.11537135614</v>
      </c>
      <c r="H23" s="92">
        <f>'Student Success'!E24</f>
        <v>606000</v>
      </c>
      <c r="I23" s="92">
        <f>Research!H26</f>
        <v>1234.5649373144688</v>
      </c>
      <c r="J23" s="8">
        <f t="shared" si="0"/>
        <v>17932981.124585379</v>
      </c>
      <c r="K23" s="9">
        <f t="shared" si="1"/>
        <v>2.8827559797638864E-2</v>
      </c>
      <c r="L23" s="69">
        <v>14561854.492217112</v>
      </c>
      <c r="M23" s="50">
        <v>2.6462763816473635E-2</v>
      </c>
      <c r="N23" s="18">
        <f t="shared" si="2"/>
        <v>7125078.9664967339</v>
      </c>
      <c r="O23" s="53">
        <f t="shared" si="3"/>
        <v>7761798.4800861385</v>
      </c>
      <c r="P23" s="63">
        <f t="shared" si="6"/>
        <v>14886877.446582872</v>
      </c>
      <c r="Q23" s="42">
        <f t="shared" si="4"/>
        <v>2.764516180705625E-2</v>
      </c>
      <c r="R23" s="38">
        <f t="shared" si="7"/>
        <v>325022.95436576009</v>
      </c>
      <c r="S23" s="46">
        <f t="shared" si="5"/>
        <v>2.2320162211446035E-2</v>
      </c>
      <c r="U23" s="212">
        <v>2143387</v>
      </c>
      <c r="V23" s="498">
        <v>387059.77714508667</v>
      </c>
      <c r="W23" s="425">
        <v>450240</v>
      </c>
      <c r="X23" s="421"/>
      <c r="Y23" s="496"/>
      <c r="Z23" s="11"/>
    </row>
    <row r="24" spans="1:26" ht="12.75" customHeight="1" x14ac:dyDescent="0.2">
      <c r="A24">
        <v>3</v>
      </c>
      <c r="B24" s="37" t="s">
        <v>123</v>
      </c>
      <c r="C24" s="3" t="s">
        <v>63</v>
      </c>
      <c r="D24" s="182">
        <v>3586</v>
      </c>
      <c r="E24" s="92">
        <f>Instruction!L26</f>
        <v>10022214</v>
      </c>
      <c r="F24" s="92">
        <f>'Student&amp;Institutional Support'!S27</f>
        <v>6906528.9150103601</v>
      </c>
      <c r="G24" s="92">
        <f>Facilities!H27</f>
        <v>1817430.7876632526</v>
      </c>
      <c r="H24" s="92">
        <f>'Student Success'!E25</f>
        <v>82000</v>
      </c>
      <c r="I24" s="92">
        <f>Research!H27</f>
        <v>150855.05872633622</v>
      </c>
      <c r="J24" s="8">
        <f t="shared" si="0"/>
        <v>18979028.761399947</v>
      </c>
      <c r="K24" s="9">
        <f t="shared" si="1"/>
        <v>3.0509098443776708E-2</v>
      </c>
      <c r="L24" s="69">
        <v>17701277.820202108</v>
      </c>
      <c r="M24" s="50">
        <v>3.2167931251898652E-2</v>
      </c>
      <c r="N24" s="18">
        <f t="shared" si="2"/>
        <v>8661190.9454421662</v>
      </c>
      <c r="O24" s="53">
        <f t="shared" si="3"/>
        <v>8214551.4775447659</v>
      </c>
      <c r="P24" s="63">
        <f t="shared" si="6"/>
        <v>16875742.422986932</v>
      </c>
      <c r="Q24" s="42">
        <f t="shared" si="4"/>
        <v>3.133851484783768E-2</v>
      </c>
      <c r="R24" s="38">
        <f t="shared" si="7"/>
        <v>-825535.39721517637</v>
      </c>
      <c r="S24" s="46">
        <f t="shared" si="5"/>
        <v>-4.6637051042326988E-2</v>
      </c>
      <c r="U24" s="212">
        <v>1726036</v>
      </c>
      <c r="V24" s="498">
        <v>306111.24248290784</v>
      </c>
      <c r="W24" s="425">
        <v>347965</v>
      </c>
      <c r="X24" s="421">
        <v>300000</v>
      </c>
      <c r="Y24" s="496">
        <v>31240</v>
      </c>
      <c r="Z24" s="481"/>
    </row>
    <row r="25" spans="1:26" x14ac:dyDescent="0.2">
      <c r="A25">
        <v>3</v>
      </c>
      <c r="B25" s="37" t="s">
        <v>115</v>
      </c>
      <c r="C25" s="3" t="s">
        <v>139</v>
      </c>
      <c r="D25" s="181">
        <v>2227</v>
      </c>
      <c r="E25" s="92">
        <f>Instruction!L27</f>
        <v>6773295</v>
      </c>
      <c r="F25" s="92">
        <f>'Student&amp;Institutional Support'!S28</f>
        <v>4571777.8575736983</v>
      </c>
      <c r="G25" s="92">
        <f>Facilities!H28</f>
        <v>866118.15989660646</v>
      </c>
      <c r="H25" s="92">
        <f>'Student Success'!E26</f>
        <v>0</v>
      </c>
      <c r="I25" s="92">
        <f>Research!H28</f>
        <v>51981.14563187863</v>
      </c>
      <c r="J25" s="8">
        <f t="shared" si="0"/>
        <v>12263172.163102183</v>
      </c>
      <c r="K25" s="9">
        <f t="shared" si="1"/>
        <v>1.9713249369114141E-2</v>
      </c>
      <c r="L25" s="69">
        <v>11083264.422669688</v>
      </c>
      <c r="M25" s="50">
        <v>2.0141240175788735E-2</v>
      </c>
      <c r="N25" s="18">
        <f t="shared" si="2"/>
        <v>5423013.5495648626</v>
      </c>
      <c r="O25" s="53">
        <f t="shared" si="3"/>
        <v>5307777.3514247136</v>
      </c>
      <c r="P25" s="63">
        <f t="shared" si="6"/>
        <v>10730790.900989577</v>
      </c>
      <c r="Q25" s="42">
        <f t="shared" si="4"/>
        <v>1.992724477245144E-2</v>
      </c>
      <c r="R25" s="38">
        <f t="shared" si="7"/>
        <v>-352473.52168011107</v>
      </c>
      <c r="S25" s="46">
        <f t="shared" si="5"/>
        <v>-3.1802319987887538E-2</v>
      </c>
      <c r="U25" s="212">
        <v>1105124</v>
      </c>
      <c r="V25" s="498">
        <v>185768.07939429404</v>
      </c>
      <c r="W25" s="425">
        <v>232042</v>
      </c>
      <c r="X25" s="421">
        <v>200000</v>
      </c>
      <c r="Y25" s="496"/>
      <c r="Z25" s="481"/>
    </row>
    <row r="26" spans="1:26" x14ac:dyDescent="0.2">
      <c r="A26">
        <v>1</v>
      </c>
      <c r="B26" s="37" t="s">
        <v>33</v>
      </c>
      <c r="C26" s="3" t="s">
        <v>135</v>
      </c>
      <c r="D26" s="181">
        <v>742</v>
      </c>
      <c r="E26" s="92">
        <f>Instruction!L28</f>
        <v>2060962</v>
      </c>
      <c r="F26" s="92">
        <f>'Student&amp;Institutional Support'!S29</f>
        <v>2713412.5446154801</v>
      </c>
      <c r="G26" s="92">
        <f>Facilities!H29</f>
        <v>215446.09027707478</v>
      </c>
      <c r="H26" s="92">
        <f>'Student Success'!E27</f>
        <v>0</v>
      </c>
      <c r="I26" s="92">
        <f>Research!H29</f>
        <v>6205.9392227509252</v>
      </c>
      <c r="J26" s="8">
        <f t="shared" si="0"/>
        <v>4996026.5741153061</v>
      </c>
      <c r="K26" s="9">
        <f t="shared" si="1"/>
        <v>8.0311942456935889E-3</v>
      </c>
      <c r="L26" s="69">
        <v>3798143.785124938</v>
      </c>
      <c r="M26" s="50">
        <v>6.9022377596540171E-3</v>
      </c>
      <c r="N26" s="18">
        <f t="shared" si="2"/>
        <v>1858422.2503794334</v>
      </c>
      <c r="O26" s="53">
        <f t="shared" si="3"/>
        <v>2162392.9228517893</v>
      </c>
      <c r="P26" s="63">
        <f t="shared" si="6"/>
        <v>4020815.1732312227</v>
      </c>
      <c r="Q26" s="42">
        <f t="shared" si="4"/>
        <v>7.466716002673803E-3</v>
      </c>
      <c r="R26" s="38">
        <f t="shared" si="7"/>
        <v>222671.38810628466</v>
      </c>
      <c r="S26" s="46">
        <f t="shared" si="5"/>
        <v>5.8626371381293035E-2</v>
      </c>
      <c r="U26" s="212">
        <v>276586</v>
      </c>
      <c r="V26" s="498">
        <v>101475.85530420198</v>
      </c>
      <c r="W26" s="425">
        <v>54348</v>
      </c>
      <c r="X26" s="421">
        <v>100000</v>
      </c>
      <c r="Y26" s="496"/>
      <c r="Z26" s="11"/>
    </row>
    <row r="27" spans="1:26" x14ac:dyDescent="0.2">
      <c r="A27">
        <v>3</v>
      </c>
      <c r="B27" s="37" t="s">
        <v>35</v>
      </c>
      <c r="C27" s="3" t="s">
        <v>36</v>
      </c>
      <c r="D27" s="181">
        <v>2754</v>
      </c>
      <c r="E27" s="92">
        <f>Instruction!L29</f>
        <v>8496417</v>
      </c>
      <c r="F27" s="92">
        <f>'Student&amp;Institutional Support'!S30</f>
        <v>4984460.2651690207</v>
      </c>
      <c r="G27" s="92">
        <f>Facilities!H30</f>
        <v>1160317.3926579738</v>
      </c>
      <c r="H27" s="92">
        <f>'Student Success'!E28</f>
        <v>74000</v>
      </c>
      <c r="I27" s="92">
        <f>Research!H30</f>
        <v>0</v>
      </c>
      <c r="J27" s="8">
        <f t="shared" si="0"/>
        <v>14715194.657826994</v>
      </c>
      <c r="K27" s="9">
        <f t="shared" si="1"/>
        <v>2.3654915542783823E-2</v>
      </c>
      <c r="L27" s="69">
        <v>13411618.732220035</v>
      </c>
      <c r="M27" s="50">
        <v>2.4372479418539761E-2</v>
      </c>
      <c r="N27" s="18">
        <f t="shared" si="2"/>
        <v>6562271.4872400342</v>
      </c>
      <c r="O27" s="53">
        <f t="shared" si="3"/>
        <v>6369067.9611939853</v>
      </c>
      <c r="P27" s="63">
        <f t="shared" si="6"/>
        <v>12931339.448434019</v>
      </c>
      <c r="Q27" s="42">
        <f t="shared" si="4"/>
        <v>2.4013697480661792E-2</v>
      </c>
      <c r="R27" s="38">
        <f t="shared" si="7"/>
        <v>-480279.28378601559</v>
      </c>
      <c r="S27" s="46">
        <f t="shared" si="5"/>
        <v>-3.5810687238833745E-2</v>
      </c>
      <c r="U27" s="212">
        <v>1423533</v>
      </c>
      <c r="V27" s="498">
        <v>202033.826775997</v>
      </c>
      <c r="W27" s="425">
        <v>292939</v>
      </c>
      <c r="X27" s="421">
        <v>200000</v>
      </c>
      <c r="Y27" s="496"/>
      <c r="Z27" s="11"/>
    </row>
    <row r="28" spans="1:26" x14ac:dyDescent="0.2">
      <c r="A28">
        <v>3</v>
      </c>
      <c r="B28" s="37" t="s">
        <v>37</v>
      </c>
      <c r="C28" s="3" t="s">
        <v>136</v>
      </c>
      <c r="D28" s="181">
        <v>2019</v>
      </c>
      <c r="E28" s="92">
        <f>Instruction!L30</f>
        <v>5897902.5</v>
      </c>
      <c r="F28" s="92">
        <f>'Student&amp;Institutional Support'!S31</f>
        <v>4196289.5726425108</v>
      </c>
      <c r="G28" s="92">
        <f>Facilities!H31</f>
        <v>937735.11191517208</v>
      </c>
      <c r="H28" s="92">
        <f>'Student Success'!E29</f>
        <v>340000</v>
      </c>
      <c r="I28" s="92">
        <f>Research!H31</f>
        <v>0</v>
      </c>
      <c r="J28" s="8">
        <f t="shared" si="0"/>
        <v>11371927.184557684</v>
      </c>
      <c r="K28" s="9">
        <f t="shared" si="1"/>
        <v>1.8280558522297062E-2</v>
      </c>
      <c r="L28" s="69">
        <v>10269572.700295741</v>
      </c>
      <c r="M28" s="50">
        <v>1.8662545832282561E-2</v>
      </c>
      <c r="N28" s="18">
        <f t="shared" si="2"/>
        <v>5024876.2258196101</v>
      </c>
      <c r="O28" s="53">
        <f t="shared" si="3"/>
        <v>4922026.4340623319</v>
      </c>
      <c r="P28" s="63">
        <f t="shared" si="6"/>
        <v>9946902.659881942</v>
      </c>
      <c r="Q28" s="42">
        <f t="shared" si="4"/>
        <v>1.8471552177289813E-2</v>
      </c>
      <c r="R28" s="38">
        <f t="shared" si="7"/>
        <v>-322670.04041379876</v>
      </c>
      <c r="S28" s="46">
        <f t="shared" si="5"/>
        <v>-3.1420006443355387E-2</v>
      </c>
      <c r="U28" s="212">
        <v>929049</v>
      </c>
      <c r="V28" s="498">
        <v>172820.44187074518</v>
      </c>
      <c r="W28" s="425">
        <v>194652</v>
      </c>
      <c r="X28" s="421">
        <v>300000</v>
      </c>
      <c r="Y28" s="496"/>
      <c r="Z28" s="11"/>
    </row>
    <row r="29" spans="1:26" x14ac:dyDescent="0.2">
      <c r="A29">
        <v>3</v>
      </c>
      <c r="B29" s="37" t="s">
        <v>39</v>
      </c>
      <c r="C29" s="3" t="s">
        <v>140</v>
      </c>
      <c r="D29" s="181">
        <v>3682</v>
      </c>
      <c r="E29" s="92">
        <f>Instruction!L31</f>
        <v>10047526</v>
      </c>
      <c r="F29" s="92">
        <f>'Student&amp;Institutional Support'!S32</f>
        <v>5285424.8167391596</v>
      </c>
      <c r="G29" s="92">
        <f>Facilities!H32</f>
        <v>1224551.5123440211</v>
      </c>
      <c r="H29" s="92">
        <f>'Student Success'!E30</f>
        <v>0</v>
      </c>
      <c r="I29" s="92">
        <f>Research!H32</f>
        <v>43289.313314826759</v>
      </c>
      <c r="J29" s="8">
        <f t="shared" si="0"/>
        <v>16600791.642398009</v>
      </c>
      <c r="K29" s="9">
        <f t="shared" si="1"/>
        <v>2.6686043465650316E-2</v>
      </c>
      <c r="L29" s="69">
        <v>14638236.739070129</v>
      </c>
      <c r="M29" s="50">
        <v>2.6601570680621554E-2</v>
      </c>
      <c r="N29" s="18">
        <f t="shared" si="2"/>
        <v>7162452.6087589236</v>
      </c>
      <c r="O29" s="53">
        <f t="shared" si="3"/>
        <v>7185196.8416751837</v>
      </c>
      <c r="P29" s="63">
        <f t="shared" si="6"/>
        <v>14347649.450434107</v>
      </c>
      <c r="Q29" s="42">
        <f t="shared" si="4"/>
        <v>2.6643807073135933E-2</v>
      </c>
      <c r="R29" s="38">
        <f t="shared" si="7"/>
        <v>-290587.28863602132</v>
      </c>
      <c r="S29" s="46">
        <f t="shared" si="5"/>
        <v>-1.9851249424080595E-2</v>
      </c>
      <c r="U29" s="212">
        <v>1915728</v>
      </c>
      <c r="V29" s="498">
        <v>291318.6617370235</v>
      </c>
      <c r="W29" s="425">
        <v>400298</v>
      </c>
      <c r="X29" s="421">
        <v>100000</v>
      </c>
      <c r="Y29" s="496"/>
      <c r="Z29" s="11"/>
    </row>
    <row r="30" spans="1:26" x14ac:dyDescent="0.2">
      <c r="A30">
        <v>1</v>
      </c>
      <c r="B30" s="37" t="s">
        <v>46</v>
      </c>
      <c r="C30" s="3" t="s">
        <v>70</v>
      </c>
      <c r="D30" s="181">
        <v>4637</v>
      </c>
      <c r="E30" s="92">
        <f>Instruction!L32</f>
        <v>10847127</v>
      </c>
      <c r="F30" s="92">
        <f>'Student&amp;Institutional Support'!S33</f>
        <v>6310831.5554746296</v>
      </c>
      <c r="G30" s="92">
        <f>Facilities!H33</f>
        <v>774703.8905525225</v>
      </c>
      <c r="H30" s="92">
        <f>'Student Success'!E31</f>
        <v>1258000</v>
      </c>
      <c r="I30" s="92">
        <f>Research!H33</f>
        <v>0</v>
      </c>
      <c r="J30" s="8">
        <f t="shared" si="0"/>
        <v>19190662.446027152</v>
      </c>
      <c r="K30" s="9">
        <f t="shared" si="1"/>
        <v>3.0849303045365303E-2</v>
      </c>
      <c r="L30" s="69">
        <v>14957198.938695297</v>
      </c>
      <c r="M30" s="50">
        <v>2.7181209857731516E-2</v>
      </c>
      <c r="N30" s="18">
        <f t="shared" si="2"/>
        <v>7318520.0149310892</v>
      </c>
      <c r="O30" s="53">
        <f t="shared" si="3"/>
        <v>8306151.3069463847</v>
      </c>
      <c r="P30" s="63">
        <f t="shared" si="6"/>
        <v>15624671.321877474</v>
      </c>
      <c r="Q30" s="42">
        <f t="shared" si="4"/>
        <v>2.9015256451548409E-2</v>
      </c>
      <c r="R30" s="38">
        <f t="shared" si="7"/>
        <v>667472.38318217732</v>
      </c>
      <c r="S30" s="46">
        <f t="shared" si="5"/>
        <v>4.4625493444188979E-2</v>
      </c>
      <c r="U30" s="212">
        <v>2387719</v>
      </c>
      <c r="V30" s="498">
        <v>492222.10324148682</v>
      </c>
      <c r="W30" s="425">
        <v>492462</v>
      </c>
      <c r="X30" s="421"/>
      <c r="Y30" s="496"/>
      <c r="Z30" s="481"/>
    </row>
    <row r="31" spans="1:26" x14ac:dyDescent="0.2">
      <c r="A31">
        <v>4</v>
      </c>
      <c r="B31" s="37" t="s">
        <v>41</v>
      </c>
      <c r="C31" s="3" t="s">
        <v>122</v>
      </c>
      <c r="D31" s="181">
        <v>2159</v>
      </c>
      <c r="E31" s="92">
        <f>Instruction!L33</f>
        <v>7101239</v>
      </c>
      <c r="F31" s="92">
        <f>'Student&amp;Institutional Support'!S34</f>
        <v>4561481.746612113</v>
      </c>
      <c r="G31" s="92">
        <f>Facilities!H34</f>
        <v>744345.58577256266</v>
      </c>
      <c r="H31" s="92">
        <f>'Student Success'!E32</f>
        <v>16000</v>
      </c>
      <c r="I31" s="92">
        <f>Research!H34</f>
        <v>0</v>
      </c>
      <c r="J31" s="8">
        <f t="shared" si="0"/>
        <v>12423066.332384676</v>
      </c>
      <c r="K31" s="9">
        <f t="shared" si="1"/>
        <v>1.9970281855473344E-2</v>
      </c>
      <c r="L31" s="69">
        <v>11190961.21300547</v>
      </c>
      <c r="M31" s="50">
        <v>2.0336953896728009E-2</v>
      </c>
      <c r="N31" s="18">
        <f t="shared" si="2"/>
        <v>5475709.3195981933</v>
      </c>
      <c r="O31" s="53">
        <f t="shared" si="3"/>
        <v>5376983.1522611426</v>
      </c>
      <c r="P31" s="63">
        <f t="shared" si="6"/>
        <v>10852692.471859336</v>
      </c>
      <c r="Q31" s="42">
        <f t="shared" si="4"/>
        <v>2.0153617876100677E-2</v>
      </c>
      <c r="R31" s="38">
        <f t="shared" si="7"/>
        <v>-338268.74114613421</v>
      </c>
      <c r="S31" s="46">
        <f t="shared" si="5"/>
        <v>-3.0226960375219457E-2</v>
      </c>
      <c r="U31" s="212">
        <v>1120377</v>
      </c>
      <c r="V31" s="498">
        <v>181279.55436346581</v>
      </c>
      <c r="W31" s="425">
        <v>230427</v>
      </c>
      <c r="X31" s="421">
        <v>200000</v>
      </c>
      <c r="Y31" s="496"/>
      <c r="Z31" s="11"/>
    </row>
    <row r="32" spans="1:26" x14ac:dyDescent="0.2">
      <c r="A32">
        <v>4</v>
      </c>
      <c r="B32" s="37" t="s">
        <v>42</v>
      </c>
      <c r="C32" s="3" t="s">
        <v>69</v>
      </c>
      <c r="D32" s="181">
        <v>3760</v>
      </c>
      <c r="E32" s="92">
        <f>Instruction!L34</f>
        <v>9315455.8650000002</v>
      </c>
      <c r="F32" s="92">
        <f>'Student&amp;Institutional Support'!S35</f>
        <v>9267209.0585120469</v>
      </c>
      <c r="G32" s="92">
        <f>Facilities!H35</f>
        <v>1161716.0913279529</v>
      </c>
      <c r="H32" s="92">
        <f>'Student Success'!E33</f>
        <v>130000</v>
      </c>
      <c r="I32" s="92">
        <f>Research!H35</f>
        <v>128674.33024260064</v>
      </c>
      <c r="J32" s="8">
        <f t="shared" si="0"/>
        <v>20003055.345082603</v>
      </c>
      <c r="K32" s="9">
        <f t="shared" si="1"/>
        <v>3.2155237887653815E-2</v>
      </c>
      <c r="L32" s="69">
        <v>16630761.35096306</v>
      </c>
      <c r="M32" s="50">
        <v>3.0222518014713848E-2</v>
      </c>
      <c r="N32" s="18">
        <f t="shared" si="2"/>
        <v>8137389.9156804588</v>
      </c>
      <c r="O32" s="53">
        <f t="shared" si="3"/>
        <v>8657773.2668042816</v>
      </c>
      <c r="P32" s="63">
        <f t="shared" si="6"/>
        <v>16795163.182484739</v>
      </c>
      <c r="Q32" s="42">
        <f t="shared" si="4"/>
        <v>3.118887795118383E-2</v>
      </c>
      <c r="R32" s="38">
        <f t="shared" si="7"/>
        <v>164401.83152167872</v>
      </c>
      <c r="S32" s="46">
        <f t="shared" si="5"/>
        <v>9.8854062091485954E-3</v>
      </c>
      <c r="U32" s="212">
        <v>879368</v>
      </c>
      <c r="V32" s="498">
        <v>280458.55440895958</v>
      </c>
      <c r="W32" s="425">
        <v>0</v>
      </c>
      <c r="X32" s="421"/>
      <c r="Y32" s="496"/>
      <c r="Z32" s="11"/>
    </row>
    <row r="33" spans="1:26" x14ac:dyDescent="0.2">
      <c r="A33">
        <v>1</v>
      </c>
      <c r="B33" s="37" t="s">
        <v>43</v>
      </c>
      <c r="C33" s="3" t="s">
        <v>44</v>
      </c>
      <c r="D33" s="181">
        <v>11480</v>
      </c>
      <c r="E33" s="92">
        <f>Instruction!L35</f>
        <v>34495168.935000002</v>
      </c>
      <c r="F33" s="92">
        <f>'Student&amp;Institutional Support'!S36</f>
        <v>19481590.551693361</v>
      </c>
      <c r="G33" s="92">
        <f>Facilities!H36</f>
        <v>2733108.0799328107</v>
      </c>
      <c r="H33" s="92">
        <f>'Student Success'!E34</f>
        <v>0</v>
      </c>
      <c r="I33" s="92">
        <f>Research!H36</f>
        <v>712193.05550469772</v>
      </c>
      <c r="J33" s="8">
        <f t="shared" si="0"/>
        <v>57422060.622130871</v>
      </c>
      <c r="K33" s="9">
        <f t="shared" si="1"/>
        <v>9.2306899493621919E-2</v>
      </c>
      <c r="L33" s="69">
        <v>54370831.732509196</v>
      </c>
      <c r="M33" s="50">
        <v>9.8806266702611195E-2</v>
      </c>
      <c r="N33" s="18">
        <f t="shared" si="2"/>
        <v>26603511.920496572</v>
      </c>
      <c r="O33" s="53">
        <f t="shared" si="3"/>
        <v>24853562.258493386</v>
      </c>
      <c r="P33" s="63">
        <f t="shared" si="6"/>
        <v>51457074.178989962</v>
      </c>
      <c r="Q33" s="42">
        <f t="shared" si="4"/>
        <v>9.5556583098116557E-2</v>
      </c>
      <c r="R33" s="38">
        <f t="shared" si="7"/>
        <v>-2913757.5535192341</v>
      </c>
      <c r="S33" s="46">
        <f t="shared" si="5"/>
        <v>-5.3590453937769199E-2</v>
      </c>
      <c r="U33" s="212">
        <v>3862405</v>
      </c>
      <c r="V33" s="498">
        <v>655967.21651650837</v>
      </c>
      <c r="W33" s="425">
        <v>0</v>
      </c>
      <c r="X33" s="421"/>
      <c r="Y33" s="496">
        <v>179437</v>
      </c>
    </row>
    <row r="34" spans="1:26" x14ac:dyDescent="0.2">
      <c r="A34">
        <v>1</v>
      </c>
      <c r="B34" s="37" t="s">
        <v>45</v>
      </c>
      <c r="C34" s="3" t="s">
        <v>141</v>
      </c>
      <c r="D34" s="181">
        <v>3202</v>
      </c>
      <c r="E34" s="92">
        <f>Instruction!L36</f>
        <v>8287993.5</v>
      </c>
      <c r="F34" s="92">
        <f>'Student&amp;Institutional Support'!S37</f>
        <v>4759284.8601084612</v>
      </c>
      <c r="G34" s="92">
        <f>Facilities!H37</f>
        <v>740987.20500454621</v>
      </c>
      <c r="H34" s="92">
        <f>'Student Success'!E35</f>
        <v>0</v>
      </c>
      <c r="I34" s="92">
        <f>Research!H37</f>
        <v>1437.0688221492526</v>
      </c>
      <c r="J34" s="8">
        <f t="shared" si="0"/>
        <v>13789702.633935157</v>
      </c>
      <c r="K34" s="9">
        <f t="shared" si="1"/>
        <v>2.2167172011709507E-2</v>
      </c>
      <c r="L34" s="69">
        <v>12170500.340995252</v>
      </c>
      <c r="M34" s="50">
        <v>2.2117037100199265E-2</v>
      </c>
      <c r="N34" s="18">
        <f t="shared" si="2"/>
        <v>5954995.3639293443</v>
      </c>
      <c r="O34" s="53">
        <f t="shared" si="3"/>
        <v>5968494.1506005395</v>
      </c>
      <c r="P34" s="63">
        <f t="shared" si="6"/>
        <v>11923489.514529884</v>
      </c>
      <c r="Q34" s="42">
        <f t="shared" si="4"/>
        <v>2.2142104555954386E-2</v>
      </c>
      <c r="R34" s="38">
        <f t="shared" si="7"/>
        <v>-247010.82646536827</v>
      </c>
      <c r="S34" s="46">
        <f t="shared" si="5"/>
        <v>-2.0295864553188023E-2</v>
      </c>
      <c r="U34" s="212">
        <v>1659462</v>
      </c>
      <c r="V34" s="498">
        <v>289172.42902316031</v>
      </c>
      <c r="W34" s="425">
        <v>336983</v>
      </c>
      <c r="X34" s="421">
        <v>100000</v>
      </c>
      <c r="Y34" s="496"/>
      <c r="Z34" s="11"/>
    </row>
    <row r="35" spans="1:26" x14ac:dyDescent="0.2">
      <c r="A35">
        <v>4</v>
      </c>
      <c r="B35" s="37" t="s">
        <v>47</v>
      </c>
      <c r="C35" s="3" t="s">
        <v>48</v>
      </c>
      <c r="D35" s="181">
        <v>7530</v>
      </c>
      <c r="E35" s="92">
        <f>Instruction!L37</f>
        <v>21782320.259999998</v>
      </c>
      <c r="F35" s="92">
        <f>'Student&amp;Institutional Support'!S38</f>
        <v>11679080.262079241</v>
      </c>
      <c r="G35" s="92">
        <f>Facilities!H38</f>
        <v>1604376.9948699449</v>
      </c>
      <c r="H35" s="92">
        <f>'Student Success'!E36</f>
        <v>0</v>
      </c>
      <c r="I35" s="92">
        <f>Research!H38</f>
        <v>97916.71931241428</v>
      </c>
      <c r="J35" s="8">
        <f t="shared" si="0"/>
        <v>35163694.236261599</v>
      </c>
      <c r="K35" s="9">
        <f t="shared" si="1"/>
        <v>5.6526212304545506E-2</v>
      </c>
      <c r="L35" s="69">
        <v>31957944.88113986</v>
      </c>
      <c r="M35" s="50">
        <v>5.8076088310145275E-2</v>
      </c>
      <c r="N35" s="18">
        <f t="shared" si="2"/>
        <v>15636942.465451235</v>
      </c>
      <c r="O35" s="53">
        <f t="shared" si="3"/>
        <v>15219639.533498889</v>
      </c>
      <c r="P35" s="63">
        <f>N35+O35</f>
        <v>30856581.998950124</v>
      </c>
      <c r="Q35" s="42">
        <f t="shared" si="4"/>
        <v>5.7301150307345387E-2</v>
      </c>
      <c r="R35" s="38">
        <f t="shared" si="7"/>
        <v>-1101362.8821897358</v>
      </c>
      <c r="S35" s="46">
        <f t="shared" si="5"/>
        <v>-3.4462881962091081E-2</v>
      </c>
      <c r="U35" s="212">
        <v>2930475</v>
      </c>
      <c r="V35" s="498">
        <v>356399.895485566</v>
      </c>
      <c r="W35" s="425">
        <v>0</v>
      </c>
      <c r="X35" s="421"/>
      <c r="Y35" s="496"/>
      <c r="Z35" s="11"/>
    </row>
    <row r="36" spans="1:26" x14ac:dyDescent="0.2">
      <c r="N36" s="17"/>
      <c r="O36" s="52"/>
      <c r="P36" s="55"/>
      <c r="R36" s="11"/>
      <c r="W36" s="176">
        <v>0</v>
      </c>
      <c r="X36" s="176">
        <v>0</v>
      </c>
      <c r="Y36" s="176"/>
    </row>
    <row r="37" spans="1:26" x14ac:dyDescent="0.2">
      <c r="B37" s="4"/>
      <c r="C37" s="4" t="s">
        <v>49</v>
      </c>
      <c r="D37" s="183">
        <f t="shared" ref="D37:M37" si="8">SUM(D6:D36)</f>
        <v>131640</v>
      </c>
      <c r="E37" s="183">
        <f t="shared" si="8"/>
        <v>359610429.35500002</v>
      </c>
      <c r="F37" s="183">
        <f t="shared" si="8"/>
        <v>221399617.49970192</v>
      </c>
      <c r="G37" s="183">
        <f t="shared" si="8"/>
        <v>33605918.495586351</v>
      </c>
      <c r="H37" s="183">
        <f t="shared" si="8"/>
        <v>4630000</v>
      </c>
      <c r="I37" s="183">
        <f t="shared" si="8"/>
        <v>2831700.9686690583</v>
      </c>
      <c r="J37" s="12">
        <f t="shared" si="8"/>
        <v>622077666.31895733</v>
      </c>
      <c r="K37" s="7">
        <f t="shared" si="8"/>
        <v>0.99999999999999989</v>
      </c>
      <c r="L37" s="65">
        <f t="shared" si="8"/>
        <v>550277159.00000012</v>
      </c>
      <c r="M37" s="51">
        <f t="shared" si="8"/>
        <v>0.99999999999999978</v>
      </c>
      <c r="N37" s="5">
        <f t="shared" ref="N37:R37" si="9">SUM(N6:N36)</f>
        <v>269249236.99999994</v>
      </c>
      <c r="O37" s="56">
        <f t="shared" si="9"/>
        <v>269249237.00000006</v>
      </c>
      <c r="P37" s="56">
        <f t="shared" si="9"/>
        <v>538498474</v>
      </c>
      <c r="Q37" s="7">
        <f>SUM(Q6:Q36)</f>
        <v>1</v>
      </c>
      <c r="R37" s="5">
        <f t="shared" si="9"/>
        <v>-11778685.000000034</v>
      </c>
      <c r="S37" s="211">
        <f>R37/L37</f>
        <v>-2.1405004382527952E-2</v>
      </c>
      <c r="U37" s="210">
        <f t="shared" ref="U37:Y37" si="10">SUM(U6:U36)</f>
        <v>57460905</v>
      </c>
      <c r="V37" s="210">
        <f t="shared" si="10"/>
        <v>9601008</v>
      </c>
      <c r="W37" s="210">
        <f t="shared" si="10"/>
        <v>8000001</v>
      </c>
      <c r="X37" s="210">
        <f t="shared" si="10"/>
        <v>3000000</v>
      </c>
      <c r="Y37" s="210">
        <f t="shared" si="10"/>
        <v>292359</v>
      </c>
    </row>
    <row r="38" spans="1:26" ht="18.75" customHeight="1" x14ac:dyDescent="0.2">
      <c r="B38" s="16" t="s">
        <v>330</v>
      </c>
      <c r="C38" s="4"/>
      <c r="D38" s="183"/>
      <c r="E38" s="183"/>
      <c r="F38" s="183"/>
      <c r="G38" s="183"/>
      <c r="H38" s="183"/>
      <c r="I38" s="183"/>
      <c r="J38" s="12">
        <f>B3</f>
        <v>0</v>
      </c>
      <c r="K38" s="7"/>
      <c r="L38" s="70"/>
      <c r="M38" s="51"/>
      <c r="N38" s="5"/>
      <c r="O38" s="56"/>
      <c r="P38" s="56"/>
      <c r="Q38" s="7"/>
      <c r="R38" s="5"/>
    </row>
    <row r="39" spans="1:26" ht="21" hidden="1" customHeight="1" x14ac:dyDescent="0.2">
      <c r="B39" s="16" t="s">
        <v>330</v>
      </c>
      <c r="E39" s="214"/>
      <c r="F39" s="214"/>
      <c r="G39" s="214"/>
      <c r="H39" s="214"/>
      <c r="I39" s="214"/>
      <c r="N39" s="24"/>
      <c r="O39" s="104">
        <f>(O41)/2</f>
        <v>269249237</v>
      </c>
      <c r="P39" s="43"/>
      <c r="Q39" s="57"/>
      <c r="R39" s="24"/>
    </row>
    <row r="40" spans="1:26" ht="12" customHeight="1" x14ac:dyDescent="0.2">
      <c r="B40" s="499"/>
      <c r="C40" s="500"/>
      <c r="L40" s="87"/>
      <c r="N40" s="15"/>
      <c r="P40" s="43"/>
      <c r="Q40" s="54"/>
      <c r="R40" s="304"/>
      <c r="S40" s="417"/>
    </row>
    <row r="41" spans="1:26" hidden="1" x14ac:dyDescent="0.2">
      <c r="J41" s="195"/>
      <c r="N41" s="172" t="s">
        <v>132</v>
      </c>
      <c r="O41" s="475">
        <f>538798474-300000</f>
        <v>538498474</v>
      </c>
      <c r="R41" s="11"/>
    </row>
    <row r="42" spans="1:26" x14ac:dyDescent="0.2">
      <c r="R42" s="11"/>
      <c r="S42" s="313"/>
    </row>
    <row r="43" spans="1:26" x14ac:dyDescent="0.2">
      <c r="J43" s="176"/>
      <c r="N43" s="209"/>
      <c r="O43" s="57"/>
      <c r="R43" s="11"/>
      <c r="S43" s="313"/>
    </row>
    <row r="44" spans="1:26" x14ac:dyDescent="0.2">
      <c r="O44" s="166"/>
      <c r="Q44" s="24"/>
      <c r="R44" s="11"/>
      <c r="S44" s="313"/>
    </row>
    <row r="45" spans="1:26" x14ac:dyDescent="0.2">
      <c r="P45" s="134"/>
      <c r="R45" s="11"/>
      <c r="S45" s="313"/>
    </row>
    <row r="46" spans="1:26" x14ac:dyDescent="0.2">
      <c r="O46" s="55"/>
      <c r="P46" s="134"/>
      <c r="R46" s="11"/>
      <c r="S46" s="313"/>
    </row>
    <row r="47" spans="1:26" x14ac:dyDescent="0.2">
      <c r="R47" s="11"/>
      <c r="S47" s="313"/>
    </row>
    <row r="48" spans="1:26" x14ac:dyDescent="0.2">
      <c r="P48" s="57"/>
    </row>
    <row r="51" spans="16:25" x14ac:dyDescent="0.2">
      <c r="P51" s="153"/>
    </row>
    <row r="58" spans="16:25" x14ac:dyDescent="0.2">
      <c r="P58" s="57"/>
      <c r="Q58" s="24"/>
      <c r="R58" s="24"/>
      <c r="U58" s="176"/>
      <c r="W58" s="176"/>
      <c r="X58" s="176"/>
      <c r="Y58" s="176"/>
    </row>
  </sheetData>
  <mergeCells count="1">
    <mergeCell ref="B40:C40"/>
  </mergeCells>
  <pageMargins left="0.3" right="0.08" top="0.82" bottom="0.13" header="0.18" footer="0.13"/>
  <pageSetup scale="80" orientation="landscape" copies="4" r:id="rId1"/>
  <headerFooter alignWithMargins="0">
    <oddHeader xml:space="preserve">&amp;C&amp;"Arial,Bold"Minnesota State
FY2019 COLLEGE/UNIVERSITY ALLOCATIONS DRAFT
(FRAMEWORK BASED ON FY2017 DATA)
</oddHeader>
  </headerFooter>
  <colBreaks count="2" manualBreakCount="2">
    <brk id="11" max="1048575" man="1"/>
    <brk id="19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</sheetPr>
  <dimension ref="A1:N49"/>
  <sheetViews>
    <sheetView zoomScale="80" zoomScaleNormal="80" workbookViewId="0">
      <selection activeCell="L1" sqref="L1"/>
    </sheetView>
  </sheetViews>
  <sheetFormatPr defaultRowHeight="15" customHeight="1" x14ac:dyDescent="0.2"/>
  <cols>
    <col min="1" max="1" width="7.28515625" style="64" customWidth="1"/>
    <col min="2" max="2" width="31.7109375" style="64" customWidth="1"/>
    <col min="3" max="3" width="16.140625" style="54" customWidth="1"/>
    <col min="4" max="4" width="12.7109375" style="55" customWidth="1"/>
    <col min="5" max="5" width="12.5703125" style="55" customWidth="1"/>
    <col min="6" max="6" width="13" style="55" customWidth="1"/>
    <col min="7" max="7" width="11" style="55" customWidth="1"/>
    <col min="8" max="8" width="10.42578125" style="55" customWidth="1"/>
    <col min="9" max="9" width="12.85546875" style="72" customWidth="1"/>
    <col min="10" max="11" width="15.85546875" style="54" customWidth="1"/>
    <col min="12" max="12" width="13.7109375" style="54" customWidth="1"/>
    <col min="13" max="13" width="11.28515625" style="64" bestFit="1" customWidth="1"/>
    <col min="14" max="14" width="12.28515625" style="64" bestFit="1" customWidth="1"/>
    <col min="15" max="16384" width="9.140625" style="64"/>
  </cols>
  <sheetData>
    <row r="1" spans="1:14" ht="15" customHeight="1" x14ac:dyDescent="0.25">
      <c r="A1" s="71" t="s">
        <v>72</v>
      </c>
      <c r="L1" s="87" t="s">
        <v>318</v>
      </c>
    </row>
    <row r="2" spans="1:14" ht="15" customHeight="1" x14ac:dyDescent="0.2">
      <c r="A2" s="73" t="s">
        <v>73</v>
      </c>
      <c r="G2" s="56"/>
    </row>
    <row r="3" spans="1:14" ht="15" customHeight="1" x14ac:dyDescent="0.2">
      <c r="A3" s="74" t="s">
        <v>299</v>
      </c>
    </row>
    <row r="4" spans="1:14" s="75" customFormat="1" ht="15" customHeight="1" x14ac:dyDescent="0.2">
      <c r="C4" s="103"/>
      <c r="D4" s="89" t="s">
        <v>74</v>
      </c>
      <c r="E4" s="89" t="s">
        <v>75</v>
      </c>
      <c r="F4" s="89" t="s">
        <v>76</v>
      </c>
      <c r="G4" s="89" t="s">
        <v>77</v>
      </c>
      <c r="H4" s="89" t="s">
        <v>78</v>
      </c>
      <c r="I4" s="76" t="s">
        <v>79</v>
      </c>
      <c r="J4" s="103" t="s">
        <v>80</v>
      </c>
      <c r="K4" s="103"/>
      <c r="L4" s="103" t="s">
        <v>150</v>
      </c>
    </row>
    <row r="5" spans="1:14" ht="27.75" customHeight="1" x14ac:dyDescent="0.2">
      <c r="B5" s="77"/>
      <c r="C5" s="103" t="s">
        <v>81</v>
      </c>
      <c r="D5" s="184" t="s">
        <v>126</v>
      </c>
      <c r="E5" s="185"/>
      <c r="F5" s="186" t="s">
        <v>82</v>
      </c>
      <c r="G5" s="185" t="s">
        <v>126</v>
      </c>
      <c r="H5" s="187" t="s">
        <v>126</v>
      </c>
      <c r="I5" s="76" t="s">
        <v>83</v>
      </c>
      <c r="J5" s="103" t="s">
        <v>84</v>
      </c>
      <c r="K5" s="103" t="s">
        <v>116</v>
      </c>
      <c r="L5" s="103" t="s">
        <v>128</v>
      </c>
    </row>
    <row r="6" spans="1:14" s="81" customFormat="1" ht="90" customHeight="1" x14ac:dyDescent="0.2">
      <c r="A6" s="78" t="s">
        <v>0</v>
      </c>
      <c r="B6" s="79" t="s">
        <v>85</v>
      </c>
      <c r="C6" s="136" t="s">
        <v>298</v>
      </c>
      <c r="D6" s="105" t="s">
        <v>86</v>
      </c>
      <c r="E6" s="188" t="s">
        <v>87</v>
      </c>
      <c r="F6" s="188" t="s">
        <v>88</v>
      </c>
      <c r="G6" s="105" t="s">
        <v>89</v>
      </c>
      <c r="H6" s="105" t="s">
        <v>90</v>
      </c>
      <c r="I6" s="80" t="s">
        <v>91</v>
      </c>
      <c r="J6" s="403" t="s">
        <v>148</v>
      </c>
      <c r="K6" s="403" t="s">
        <v>142</v>
      </c>
      <c r="L6" s="403" t="s">
        <v>149</v>
      </c>
    </row>
    <row r="7" spans="1:14" ht="15" customHeight="1" x14ac:dyDescent="0.2">
      <c r="B7" s="82"/>
      <c r="C7" s="132"/>
      <c r="D7" s="189"/>
      <c r="E7" s="190"/>
      <c r="F7" s="190"/>
    </row>
    <row r="8" spans="1:14" ht="15" customHeight="1" x14ac:dyDescent="0.2">
      <c r="A8" s="83" t="s">
        <v>2</v>
      </c>
      <c r="B8" s="3" t="s">
        <v>133</v>
      </c>
      <c r="C8" s="133">
        <v>6707251</v>
      </c>
      <c r="D8" s="92">
        <v>-300618</v>
      </c>
      <c r="E8" s="477"/>
      <c r="F8" s="131"/>
      <c r="G8" s="92"/>
      <c r="H8" s="92"/>
      <c r="I8" s="69">
        <f>SUM(D8:H8)</f>
        <v>-300618</v>
      </c>
      <c r="J8" s="312">
        <f t="shared" ref="J8:J12" si="0">+C8+I8</f>
        <v>6406633</v>
      </c>
      <c r="K8" s="312">
        <v>5285309</v>
      </c>
      <c r="L8" s="312">
        <f>AVERAGE(J8:K8)</f>
        <v>5845971</v>
      </c>
      <c r="M8" s="72"/>
      <c r="N8" s="207"/>
    </row>
    <row r="9" spans="1:14" s="54" customFormat="1" ht="15" customHeight="1" x14ac:dyDescent="0.2">
      <c r="A9" s="10" t="s">
        <v>4</v>
      </c>
      <c r="B9" s="3" t="s">
        <v>129</v>
      </c>
      <c r="C9" s="133">
        <v>16915998</v>
      </c>
      <c r="D9" s="92">
        <v>458805</v>
      </c>
      <c r="E9" s="477"/>
      <c r="F9" s="131"/>
      <c r="G9" s="131"/>
      <c r="H9" s="131"/>
      <c r="I9" s="131">
        <f t="shared" ref="I9:I15" si="1">SUM(D9:H9)</f>
        <v>458805</v>
      </c>
      <c r="J9" s="312">
        <f t="shared" si="0"/>
        <v>17374803</v>
      </c>
      <c r="K9" s="312">
        <v>14747375</v>
      </c>
      <c r="L9" s="312">
        <f t="shared" ref="L9:L37" si="2">AVERAGE(J9:K9)</f>
        <v>16061089</v>
      </c>
      <c r="M9" s="72"/>
      <c r="N9" s="207"/>
    </row>
    <row r="10" spans="1:14" ht="15" customHeight="1" x14ac:dyDescent="0.2">
      <c r="A10" s="83" t="s">
        <v>5</v>
      </c>
      <c r="B10" s="3" t="s">
        <v>118</v>
      </c>
      <c r="C10" s="133">
        <f>5879497+6545934+709274</f>
        <v>13134705</v>
      </c>
      <c r="D10" s="92">
        <v>329493</v>
      </c>
      <c r="E10" s="477"/>
      <c r="F10" s="191">
        <v>300160.99</v>
      </c>
      <c r="G10" s="191">
        <v>59100</v>
      </c>
      <c r="H10" s="191">
        <v>32669</v>
      </c>
      <c r="I10" s="69">
        <f t="shared" si="1"/>
        <v>721422.99</v>
      </c>
      <c r="J10" s="312">
        <f>+C10+I10</f>
        <v>13856127.99</v>
      </c>
      <c r="K10" s="312">
        <v>12404106</v>
      </c>
      <c r="L10" s="312">
        <f t="shared" si="2"/>
        <v>13130116.995000001</v>
      </c>
      <c r="M10" s="72"/>
      <c r="N10" s="207"/>
    </row>
    <row r="11" spans="1:14" ht="15" customHeight="1" x14ac:dyDescent="0.2">
      <c r="A11" s="83" t="s">
        <v>6</v>
      </c>
      <c r="B11" s="3" t="s">
        <v>7</v>
      </c>
      <c r="C11" s="133">
        <v>8654904</v>
      </c>
      <c r="D11" s="92">
        <v>-714930</v>
      </c>
      <c r="E11" s="478">
        <v>18136</v>
      </c>
      <c r="F11" s="131"/>
      <c r="G11" s="92"/>
      <c r="H11" s="92"/>
      <c r="I11" s="69">
        <f t="shared" si="1"/>
        <v>-696794</v>
      </c>
      <c r="J11" s="312">
        <f t="shared" si="0"/>
        <v>7958110</v>
      </c>
      <c r="K11" s="312">
        <v>6956679</v>
      </c>
      <c r="L11" s="312">
        <f t="shared" si="2"/>
        <v>7457394.5</v>
      </c>
      <c r="M11" s="72"/>
      <c r="N11" s="413"/>
    </row>
    <row r="12" spans="1:14" ht="15" customHeight="1" x14ac:dyDescent="0.2">
      <c r="A12" s="83" t="s">
        <v>8</v>
      </c>
      <c r="B12" s="3" t="s">
        <v>9</v>
      </c>
      <c r="C12" s="133">
        <v>15356208</v>
      </c>
      <c r="D12" s="92">
        <v>398215</v>
      </c>
      <c r="E12" s="477"/>
      <c r="F12" s="131"/>
      <c r="G12" s="92"/>
      <c r="H12" s="92"/>
      <c r="I12" s="69">
        <f t="shared" si="1"/>
        <v>398215</v>
      </c>
      <c r="J12" s="312">
        <f t="shared" si="0"/>
        <v>15754423</v>
      </c>
      <c r="K12" s="312">
        <v>13369027</v>
      </c>
      <c r="L12" s="312">
        <f t="shared" si="2"/>
        <v>14561725</v>
      </c>
      <c r="M12" s="72"/>
      <c r="N12" s="207"/>
    </row>
    <row r="13" spans="1:14" ht="15" customHeight="1" x14ac:dyDescent="0.2">
      <c r="A13" s="83" t="s">
        <v>10</v>
      </c>
      <c r="B13" s="3" t="s">
        <v>156</v>
      </c>
      <c r="C13" s="133">
        <v>15167674</v>
      </c>
      <c r="D13" s="92">
        <v>-253987</v>
      </c>
      <c r="E13" s="477"/>
      <c r="F13" s="131"/>
      <c r="G13" s="92"/>
      <c r="H13" s="92"/>
      <c r="I13" s="69">
        <f t="shared" si="1"/>
        <v>-253987</v>
      </c>
      <c r="J13" s="312">
        <f t="shared" ref="J13:J37" si="3">+C13+I13</f>
        <v>14913687</v>
      </c>
      <c r="K13" s="312">
        <v>13270485</v>
      </c>
      <c r="L13" s="312">
        <f t="shared" si="2"/>
        <v>14092086</v>
      </c>
      <c r="M13" s="72"/>
      <c r="N13" s="207"/>
    </row>
    <row r="14" spans="1:14" ht="15" customHeight="1" x14ac:dyDescent="0.2">
      <c r="A14" s="83" t="s">
        <v>12</v>
      </c>
      <c r="B14" s="3" t="s">
        <v>13</v>
      </c>
      <c r="C14" s="133">
        <v>3007552</v>
      </c>
      <c r="D14" s="92">
        <v>-99430</v>
      </c>
      <c r="E14" s="477"/>
      <c r="F14" s="131"/>
      <c r="G14" s="92"/>
      <c r="H14" s="92"/>
      <c r="I14" s="69">
        <f t="shared" si="1"/>
        <v>-99430</v>
      </c>
      <c r="J14" s="312">
        <f t="shared" si="3"/>
        <v>2908122</v>
      </c>
      <c r="K14" s="312">
        <v>2485882</v>
      </c>
      <c r="L14" s="312">
        <f t="shared" si="2"/>
        <v>2697002</v>
      </c>
      <c r="M14" s="72"/>
      <c r="N14" s="207"/>
    </row>
    <row r="15" spans="1:14" ht="15" customHeight="1" x14ac:dyDescent="0.2">
      <c r="A15" s="83" t="s">
        <v>14</v>
      </c>
      <c r="B15" s="3" t="s">
        <v>145</v>
      </c>
      <c r="C15" s="133">
        <v>12599451</v>
      </c>
      <c r="D15" s="92">
        <v>-474804</v>
      </c>
      <c r="E15" s="477"/>
      <c r="F15" s="131"/>
      <c r="G15" s="92"/>
      <c r="H15" s="92"/>
      <c r="I15" s="69">
        <f t="shared" si="1"/>
        <v>-474804</v>
      </c>
      <c r="J15" s="312">
        <f t="shared" si="3"/>
        <v>12124647</v>
      </c>
      <c r="K15" s="312">
        <v>10514913</v>
      </c>
      <c r="L15" s="312">
        <f t="shared" si="2"/>
        <v>11319780</v>
      </c>
      <c r="M15" s="72"/>
      <c r="N15" s="207"/>
    </row>
    <row r="16" spans="1:14" ht="15" customHeight="1" x14ac:dyDescent="0.2">
      <c r="A16" s="83" t="s">
        <v>16</v>
      </c>
      <c r="B16" s="3" t="s">
        <v>17</v>
      </c>
      <c r="C16" s="133">
        <v>9109731</v>
      </c>
      <c r="D16" s="92">
        <v>332666</v>
      </c>
      <c r="E16" s="477"/>
      <c r="F16" s="131"/>
      <c r="G16" s="92"/>
      <c r="H16" s="92"/>
      <c r="I16" s="69">
        <f>SUM(D16:H16)</f>
        <v>332666</v>
      </c>
      <c r="J16" s="312">
        <f t="shared" si="3"/>
        <v>9442397</v>
      </c>
      <c r="K16" s="312">
        <v>8405326</v>
      </c>
      <c r="L16" s="312">
        <f t="shared" si="2"/>
        <v>8923861.5</v>
      </c>
      <c r="M16" s="72"/>
      <c r="N16" s="207"/>
    </row>
    <row r="17" spans="1:14" ht="15" customHeight="1" x14ac:dyDescent="0.2">
      <c r="A17" s="83" t="s">
        <v>18</v>
      </c>
      <c r="B17" s="3" t="s">
        <v>146</v>
      </c>
      <c r="C17" s="133">
        <f>3641227+11942743+1936246+192238</f>
        <v>17712454</v>
      </c>
      <c r="D17" s="92">
        <v>-41347</v>
      </c>
      <c r="E17" s="477"/>
      <c r="F17" s="191">
        <v>216647.46</v>
      </c>
      <c r="G17" s="191">
        <v>639779</v>
      </c>
      <c r="H17" s="191">
        <f>196974+28925</f>
        <v>225899</v>
      </c>
      <c r="I17" s="69">
        <f t="shared" ref="I17:I37" si="4">SUM(D17:H17)</f>
        <v>1040978.46</v>
      </c>
      <c r="J17" s="312">
        <f t="shared" si="3"/>
        <v>18753432.460000001</v>
      </c>
      <c r="K17" s="312">
        <v>17616743</v>
      </c>
      <c r="L17" s="312">
        <f t="shared" si="2"/>
        <v>18185087.73</v>
      </c>
      <c r="M17" s="72"/>
      <c r="N17" s="207"/>
    </row>
    <row r="18" spans="1:14" ht="15" customHeight="1" x14ac:dyDescent="0.2">
      <c r="A18" s="83" t="s">
        <v>19</v>
      </c>
      <c r="B18" s="3" t="s">
        <v>134</v>
      </c>
      <c r="C18" s="133">
        <v>13279690</v>
      </c>
      <c r="D18" s="92">
        <v>19831</v>
      </c>
      <c r="E18" s="477"/>
      <c r="F18" s="131"/>
      <c r="G18" s="131"/>
      <c r="H18" s="92"/>
      <c r="I18" s="69">
        <f t="shared" si="4"/>
        <v>19831</v>
      </c>
      <c r="J18" s="312">
        <f t="shared" si="3"/>
        <v>13299521</v>
      </c>
      <c r="K18" s="312">
        <v>12082758</v>
      </c>
      <c r="L18" s="312">
        <f t="shared" si="2"/>
        <v>12691139.5</v>
      </c>
      <c r="M18" s="72"/>
      <c r="N18" s="207"/>
    </row>
    <row r="19" spans="1:14" ht="15" customHeight="1" x14ac:dyDescent="0.2">
      <c r="A19" s="83" t="s">
        <v>21</v>
      </c>
      <c r="B19" s="121" t="s">
        <v>188</v>
      </c>
      <c r="C19" s="135">
        <v>5610874</v>
      </c>
      <c r="D19" s="92">
        <v>-1062279</v>
      </c>
      <c r="E19" s="477"/>
      <c r="F19" s="131"/>
      <c r="G19" s="92"/>
      <c r="H19" s="92"/>
      <c r="I19" s="69">
        <f t="shared" si="4"/>
        <v>-1062279</v>
      </c>
      <c r="J19" s="312">
        <f t="shared" si="3"/>
        <v>4548595</v>
      </c>
      <c r="K19" s="312">
        <v>4180694</v>
      </c>
      <c r="L19" s="312">
        <f t="shared" si="2"/>
        <v>4364644.5</v>
      </c>
      <c r="M19" s="72"/>
      <c r="N19" s="207"/>
    </row>
    <row r="20" spans="1:14" ht="15" customHeight="1" x14ac:dyDescent="0.2">
      <c r="A20" s="84" t="s">
        <v>114</v>
      </c>
      <c r="B20" s="3" t="s">
        <v>147</v>
      </c>
      <c r="C20" s="133">
        <v>12710289</v>
      </c>
      <c r="D20" s="92">
        <v>-290123</v>
      </c>
      <c r="E20" s="477"/>
      <c r="F20" s="131"/>
      <c r="G20" s="92"/>
      <c r="H20" s="92"/>
      <c r="I20" s="69">
        <f t="shared" si="4"/>
        <v>-290123</v>
      </c>
      <c r="J20" s="312">
        <f t="shared" si="3"/>
        <v>12420166</v>
      </c>
      <c r="K20" s="312">
        <v>11325974</v>
      </c>
      <c r="L20" s="312">
        <f t="shared" si="2"/>
        <v>11873070</v>
      </c>
      <c r="M20" s="72"/>
      <c r="N20" s="207"/>
    </row>
    <row r="21" spans="1:14" ht="15" customHeight="1" x14ac:dyDescent="0.2">
      <c r="A21" s="83" t="s">
        <v>26</v>
      </c>
      <c r="B21" s="3" t="s">
        <v>62</v>
      </c>
      <c r="C21" s="133">
        <f>7056227+8615172+1944228</f>
        <v>17615627</v>
      </c>
      <c r="D21" s="92">
        <v>-1336094</v>
      </c>
      <c r="E21" s="477"/>
      <c r="F21" s="191">
        <v>570435.44999999995</v>
      </c>
      <c r="G21" s="191">
        <v>-174095</v>
      </c>
      <c r="H21" s="191">
        <v>161735</v>
      </c>
      <c r="I21" s="69">
        <f t="shared" si="4"/>
        <v>-778018.55</v>
      </c>
      <c r="J21" s="312">
        <f t="shared" si="3"/>
        <v>16837608.449999999</v>
      </c>
      <c r="K21" s="312">
        <v>15936305</v>
      </c>
      <c r="L21" s="312">
        <f t="shared" si="2"/>
        <v>16386956.725</v>
      </c>
      <c r="M21" s="72"/>
      <c r="N21" s="207"/>
    </row>
    <row r="22" spans="1:14" ht="15" customHeight="1" x14ac:dyDescent="0.2">
      <c r="A22" s="83" t="s">
        <v>22</v>
      </c>
      <c r="B22" s="3" t="s">
        <v>23</v>
      </c>
      <c r="C22" s="133">
        <f>14283783+13617129+6045215+247344</f>
        <v>34193471</v>
      </c>
      <c r="D22" s="92">
        <v>2493950</v>
      </c>
      <c r="E22" s="477"/>
      <c r="F22" s="191">
        <v>1022483.69</v>
      </c>
      <c r="G22" s="191">
        <v>437118</v>
      </c>
      <c r="H22" s="191">
        <f>-182203-54478</f>
        <v>-236681</v>
      </c>
      <c r="I22" s="69">
        <f t="shared" si="4"/>
        <v>3716870.69</v>
      </c>
      <c r="J22" s="312">
        <f t="shared" si="3"/>
        <v>37910341.689999998</v>
      </c>
      <c r="K22" s="312">
        <v>34365619</v>
      </c>
      <c r="L22" s="312">
        <f t="shared" si="2"/>
        <v>36137980.344999999</v>
      </c>
      <c r="M22" s="72"/>
      <c r="N22" s="207"/>
    </row>
    <row r="23" spans="1:14" ht="15" customHeight="1" x14ac:dyDescent="0.2">
      <c r="A23" s="83" t="s">
        <v>24</v>
      </c>
      <c r="B23" s="3" t="s">
        <v>143</v>
      </c>
      <c r="C23" s="133">
        <f>6338812</f>
        <v>6338812</v>
      </c>
      <c r="D23" s="92">
        <v>252710</v>
      </c>
      <c r="E23" s="479">
        <v>37184</v>
      </c>
      <c r="F23" s="131"/>
      <c r="G23" s="92"/>
      <c r="H23" s="92"/>
      <c r="I23" s="69">
        <f t="shared" si="4"/>
        <v>289894</v>
      </c>
      <c r="J23" s="312">
        <f t="shared" si="3"/>
        <v>6628706</v>
      </c>
      <c r="K23" s="312">
        <v>5680536</v>
      </c>
      <c r="L23" s="312">
        <f t="shared" si="2"/>
        <v>6154621</v>
      </c>
      <c r="M23" s="72"/>
      <c r="N23" s="207"/>
    </row>
    <row r="24" spans="1:14" ht="15" customHeight="1" x14ac:dyDescent="0.2">
      <c r="A24" s="83" t="s">
        <v>27</v>
      </c>
      <c r="B24" s="3" t="s">
        <v>137</v>
      </c>
      <c r="C24" s="133">
        <v>14857043</v>
      </c>
      <c r="D24" s="92">
        <v>874629</v>
      </c>
      <c r="E24" s="477"/>
      <c r="F24" s="131"/>
      <c r="G24" s="131"/>
      <c r="H24" s="92"/>
      <c r="I24" s="69">
        <f t="shared" si="4"/>
        <v>874629</v>
      </c>
      <c r="J24" s="312">
        <f t="shared" si="3"/>
        <v>15731672</v>
      </c>
      <c r="K24" s="312">
        <v>12768248</v>
      </c>
      <c r="L24" s="312">
        <f t="shared" si="2"/>
        <v>14249960</v>
      </c>
      <c r="M24" s="72"/>
      <c r="N24" s="207"/>
    </row>
    <row r="25" spans="1:14" ht="15" customHeight="1" x14ac:dyDescent="0.2">
      <c r="A25" s="83" t="s">
        <v>29</v>
      </c>
      <c r="B25" s="3" t="s">
        <v>138</v>
      </c>
      <c r="C25" s="133">
        <v>11149605</v>
      </c>
      <c r="D25" s="92">
        <v>-433653</v>
      </c>
      <c r="E25" s="477"/>
      <c r="F25" s="131"/>
      <c r="G25" s="92"/>
      <c r="H25" s="92"/>
      <c r="I25" s="69">
        <f t="shared" si="4"/>
        <v>-433653</v>
      </c>
      <c r="J25" s="312">
        <f t="shared" si="3"/>
        <v>10715952</v>
      </c>
      <c r="K25" s="312">
        <v>9984693</v>
      </c>
      <c r="L25" s="312">
        <f t="shared" si="2"/>
        <v>10350322.5</v>
      </c>
      <c r="M25" s="72"/>
      <c r="N25" s="207"/>
    </row>
    <row r="26" spans="1:14" ht="15" customHeight="1" x14ac:dyDescent="0.2">
      <c r="A26" s="84" t="s">
        <v>123</v>
      </c>
      <c r="B26" s="3" t="s">
        <v>63</v>
      </c>
      <c r="C26" s="133">
        <v>11670269</v>
      </c>
      <c r="D26" s="92">
        <v>-1031927</v>
      </c>
      <c r="E26" s="477"/>
      <c r="F26" s="131"/>
      <c r="G26" s="92"/>
      <c r="H26" s="92"/>
      <c r="I26" s="69">
        <f t="shared" si="4"/>
        <v>-1031927</v>
      </c>
      <c r="J26" s="312">
        <f t="shared" si="3"/>
        <v>10638342</v>
      </c>
      <c r="K26" s="312">
        <v>9406086</v>
      </c>
      <c r="L26" s="312">
        <f t="shared" si="2"/>
        <v>10022214</v>
      </c>
      <c r="M26" s="72"/>
      <c r="N26" s="207"/>
    </row>
    <row r="27" spans="1:14" ht="15" customHeight="1" x14ac:dyDescent="0.2">
      <c r="A27" s="83" t="s">
        <v>31</v>
      </c>
      <c r="B27" s="3" t="s">
        <v>139</v>
      </c>
      <c r="C27" s="133">
        <v>7920492</v>
      </c>
      <c r="D27" s="92">
        <v>-836758</v>
      </c>
      <c r="E27" s="479">
        <v>53727</v>
      </c>
      <c r="F27" s="131"/>
      <c r="G27" s="92"/>
      <c r="H27" s="92"/>
      <c r="I27" s="69">
        <f t="shared" si="4"/>
        <v>-783031</v>
      </c>
      <c r="J27" s="312">
        <f t="shared" si="3"/>
        <v>7137461</v>
      </c>
      <c r="K27" s="312">
        <v>6409129</v>
      </c>
      <c r="L27" s="312">
        <f t="shared" si="2"/>
        <v>6773295</v>
      </c>
      <c r="M27" s="72"/>
      <c r="N27" s="207"/>
    </row>
    <row r="28" spans="1:14" ht="15" customHeight="1" x14ac:dyDescent="0.2">
      <c r="A28" s="83" t="s">
        <v>33</v>
      </c>
      <c r="B28" s="3" t="s">
        <v>135</v>
      </c>
      <c r="C28" s="133">
        <v>2219612</v>
      </c>
      <c r="D28" s="92">
        <v>59189</v>
      </c>
      <c r="E28" s="477"/>
      <c r="F28" s="131"/>
      <c r="G28" s="92"/>
      <c r="H28" s="92"/>
      <c r="I28" s="69">
        <f t="shared" si="4"/>
        <v>59189</v>
      </c>
      <c r="J28" s="312">
        <f t="shared" si="3"/>
        <v>2278801</v>
      </c>
      <c r="K28" s="312">
        <v>1843123</v>
      </c>
      <c r="L28" s="312">
        <f t="shared" si="2"/>
        <v>2060962</v>
      </c>
      <c r="M28" s="72"/>
      <c r="N28" s="207"/>
    </row>
    <row r="29" spans="1:14" ht="15" customHeight="1" x14ac:dyDescent="0.2">
      <c r="A29" s="83" t="s">
        <v>35</v>
      </c>
      <c r="B29" s="3" t="s">
        <v>36</v>
      </c>
      <c r="C29" s="133">
        <v>9478698</v>
      </c>
      <c r="D29" s="92">
        <v>-404024</v>
      </c>
      <c r="E29" s="479"/>
      <c r="F29" s="131"/>
      <c r="G29" s="92"/>
      <c r="H29" s="92"/>
      <c r="I29" s="69">
        <f t="shared" si="4"/>
        <v>-404024</v>
      </c>
      <c r="J29" s="312">
        <f t="shared" si="3"/>
        <v>9074674</v>
      </c>
      <c r="K29" s="312">
        <v>7918160</v>
      </c>
      <c r="L29" s="312">
        <f t="shared" si="2"/>
        <v>8496417</v>
      </c>
      <c r="M29" s="72"/>
      <c r="N29" s="207"/>
    </row>
    <row r="30" spans="1:14" ht="15" customHeight="1" x14ac:dyDescent="0.2">
      <c r="A30" s="83" t="s">
        <v>37</v>
      </c>
      <c r="B30" s="3" t="s">
        <v>136</v>
      </c>
      <c r="C30" s="133">
        <v>6532845</v>
      </c>
      <c r="D30" s="92">
        <v>-338871</v>
      </c>
      <c r="E30" s="480">
        <v>58430</v>
      </c>
      <c r="F30" s="131"/>
      <c r="G30" s="92"/>
      <c r="H30" s="92"/>
      <c r="I30" s="69">
        <f t="shared" si="4"/>
        <v>-280441</v>
      </c>
      <c r="J30" s="312">
        <f t="shared" si="3"/>
        <v>6252404</v>
      </c>
      <c r="K30" s="312">
        <v>5543401</v>
      </c>
      <c r="L30" s="312">
        <f t="shared" si="2"/>
        <v>5897902.5</v>
      </c>
      <c r="M30" s="72"/>
      <c r="N30" s="207"/>
    </row>
    <row r="31" spans="1:14" ht="15" customHeight="1" x14ac:dyDescent="0.2">
      <c r="A31" s="83" t="s">
        <v>39</v>
      </c>
      <c r="B31" s="3" t="s">
        <v>140</v>
      </c>
      <c r="C31" s="133">
        <v>10920823</v>
      </c>
      <c r="D31" s="92">
        <v>-243324</v>
      </c>
      <c r="E31" s="166"/>
      <c r="F31" s="131"/>
      <c r="G31" s="92"/>
      <c r="H31" s="92"/>
      <c r="I31" s="69">
        <f t="shared" si="4"/>
        <v>-243324</v>
      </c>
      <c r="J31" s="312">
        <f t="shared" si="3"/>
        <v>10677499</v>
      </c>
      <c r="K31" s="312">
        <v>9417553</v>
      </c>
      <c r="L31" s="312">
        <f t="shared" si="2"/>
        <v>10047526</v>
      </c>
      <c r="M31" s="72"/>
      <c r="N31" s="207"/>
    </row>
    <row r="32" spans="1:14" ht="15" customHeight="1" x14ac:dyDescent="0.2">
      <c r="A32" s="83" t="s">
        <v>46</v>
      </c>
      <c r="B32" s="3" t="s">
        <v>70</v>
      </c>
      <c r="C32" s="133">
        <v>10305980</v>
      </c>
      <c r="D32" s="92">
        <v>1770059</v>
      </c>
      <c r="E32" s="480"/>
      <c r="F32" s="131"/>
      <c r="G32" s="131"/>
      <c r="H32" s="92"/>
      <c r="I32" s="69">
        <f>SUM(D32:H32)</f>
        <v>1770059</v>
      </c>
      <c r="J32" s="312">
        <f t="shared" si="3"/>
        <v>12076039</v>
      </c>
      <c r="K32" s="312">
        <v>9618215</v>
      </c>
      <c r="L32" s="312">
        <f t="shared" si="2"/>
        <v>10847127</v>
      </c>
      <c r="M32" s="72"/>
      <c r="N32" s="207"/>
    </row>
    <row r="33" spans="1:14" ht="15" customHeight="1" x14ac:dyDescent="0.2">
      <c r="A33" s="83" t="s">
        <v>41</v>
      </c>
      <c r="B33" s="3" t="s">
        <v>122</v>
      </c>
      <c r="C33" s="133">
        <v>8209425</v>
      </c>
      <c r="D33" s="92">
        <v>-757915</v>
      </c>
      <c r="E33" s="479">
        <v>19597</v>
      </c>
      <c r="F33" s="131"/>
      <c r="G33" s="92"/>
      <c r="H33" s="92"/>
      <c r="I33" s="69">
        <f t="shared" si="4"/>
        <v>-738318</v>
      </c>
      <c r="J33" s="312">
        <f t="shared" si="3"/>
        <v>7471107</v>
      </c>
      <c r="K33" s="312">
        <v>6731371</v>
      </c>
      <c r="L33" s="312">
        <f t="shared" si="2"/>
        <v>7101239</v>
      </c>
      <c r="M33" s="72"/>
      <c r="N33" s="207"/>
    </row>
    <row r="34" spans="1:14" ht="15" customHeight="1" x14ac:dyDescent="0.2">
      <c r="A34" s="83" t="s">
        <v>42</v>
      </c>
      <c r="B34" s="3" t="s">
        <v>69</v>
      </c>
      <c r="C34" s="133">
        <f>4455718+3532276+1095657</f>
        <v>9083651</v>
      </c>
      <c r="D34" s="92">
        <v>842881</v>
      </c>
      <c r="E34" s="480"/>
      <c r="F34" s="191">
        <v>332686.73</v>
      </c>
      <c r="G34" s="191">
        <v>-328855</v>
      </c>
      <c r="H34" s="191">
        <v>112043</v>
      </c>
      <c r="I34" s="69">
        <f t="shared" si="4"/>
        <v>958755.73</v>
      </c>
      <c r="J34" s="312">
        <f>+C34+I34</f>
        <v>10042406.73</v>
      </c>
      <c r="K34" s="312">
        <v>8588505</v>
      </c>
      <c r="L34" s="312">
        <f t="shared" si="2"/>
        <v>9315455.8650000002</v>
      </c>
      <c r="M34" s="72"/>
      <c r="N34" s="207"/>
    </row>
    <row r="35" spans="1:14" ht="15" customHeight="1" x14ac:dyDescent="0.2">
      <c r="A35" s="83" t="s">
        <v>43</v>
      </c>
      <c r="B35" s="3" t="s">
        <v>44</v>
      </c>
      <c r="C35" s="133">
        <f>16905783+13621471+5848075+213248</f>
        <v>36588577</v>
      </c>
      <c r="D35" s="92">
        <v>-2108077</v>
      </c>
      <c r="E35" s="477"/>
      <c r="F35" s="191">
        <v>1376287.87</v>
      </c>
      <c r="G35" s="191">
        <v>-140607</v>
      </c>
      <c r="H35" s="191">
        <f>-316718+26900</f>
        <v>-289818</v>
      </c>
      <c r="I35" s="69">
        <f t="shared" si="4"/>
        <v>-1162214.1299999999</v>
      </c>
      <c r="J35" s="312">
        <f t="shared" si="3"/>
        <v>35426362.869999997</v>
      </c>
      <c r="K35" s="312">
        <v>33563975</v>
      </c>
      <c r="L35" s="312">
        <f t="shared" si="2"/>
        <v>34495168.935000002</v>
      </c>
      <c r="M35" s="72"/>
      <c r="N35" s="207"/>
    </row>
    <row r="36" spans="1:14" ht="15" customHeight="1" x14ac:dyDescent="0.2">
      <c r="A36" s="83" t="s">
        <v>45</v>
      </c>
      <c r="B36" s="3" t="s">
        <v>141</v>
      </c>
      <c r="C36" s="133">
        <v>8529724</v>
      </c>
      <c r="D36" s="92">
        <v>476829</v>
      </c>
      <c r="E36" s="477"/>
      <c r="F36" s="131"/>
      <c r="G36" s="92"/>
      <c r="H36" s="92"/>
      <c r="I36" s="69">
        <f t="shared" si="4"/>
        <v>476829</v>
      </c>
      <c r="J36" s="312">
        <f t="shared" si="3"/>
        <v>9006553</v>
      </c>
      <c r="K36" s="312">
        <v>7569434</v>
      </c>
      <c r="L36" s="312">
        <f t="shared" si="2"/>
        <v>8287993.5</v>
      </c>
      <c r="M36" s="72"/>
      <c r="N36" s="207"/>
    </row>
    <row r="37" spans="1:14" ht="15" customHeight="1" x14ac:dyDescent="0.2">
      <c r="A37" s="83" t="s">
        <v>47</v>
      </c>
      <c r="B37" s="3" t="s">
        <v>48</v>
      </c>
      <c r="C37" s="133">
        <f>9099550+12538873+1531714+187004</f>
        <v>23357141</v>
      </c>
      <c r="D37" s="92">
        <v>-200815</v>
      </c>
      <c r="E37" s="477"/>
      <c r="F37" s="191">
        <v>703652.52</v>
      </c>
      <c r="G37" s="191">
        <v>-846107</v>
      </c>
      <c r="H37" s="191">
        <f>-176458-19692</f>
        <v>-196150</v>
      </c>
      <c r="I37" s="69">
        <f t="shared" si="4"/>
        <v>-539419.48</v>
      </c>
      <c r="J37" s="312">
        <f t="shared" si="3"/>
        <v>22817721.52</v>
      </c>
      <c r="K37" s="312">
        <v>20746919</v>
      </c>
      <c r="L37" s="312">
        <f t="shared" si="2"/>
        <v>21782320.259999998</v>
      </c>
      <c r="M37" s="72"/>
      <c r="N37" s="207"/>
    </row>
    <row r="39" spans="1:14" ht="15" customHeight="1" x14ac:dyDescent="0.2">
      <c r="B39" s="64" t="s">
        <v>49</v>
      </c>
      <c r="C39" s="55">
        <f t="shared" ref="C39:L39" si="5">SUM(C8:C38)</f>
        <v>378938576</v>
      </c>
      <c r="D39" s="55">
        <f t="shared" si="5"/>
        <v>-2619719</v>
      </c>
      <c r="E39" s="55">
        <f t="shared" si="5"/>
        <v>187074</v>
      </c>
      <c r="F39" s="55">
        <f t="shared" si="5"/>
        <v>4522354.71</v>
      </c>
      <c r="G39" s="55">
        <f t="shared" si="5"/>
        <v>-353667</v>
      </c>
      <c r="H39" s="55">
        <f t="shared" si="5"/>
        <v>-190303</v>
      </c>
      <c r="I39" s="72">
        <f t="shared" si="5"/>
        <v>1545739.71</v>
      </c>
      <c r="J39" s="52">
        <f t="shared" si="5"/>
        <v>380484315.71000004</v>
      </c>
      <c r="K39" s="52">
        <f t="shared" si="5"/>
        <v>338736543</v>
      </c>
      <c r="L39" s="52">
        <f t="shared" si="5"/>
        <v>359610429.35500002</v>
      </c>
    </row>
    <row r="40" spans="1:14" ht="12" customHeight="1" x14ac:dyDescent="0.2">
      <c r="C40" s="55"/>
      <c r="J40" s="52"/>
      <c r="K40" s="52"/>
      <c r="L40" s="52"/>
    </row>
    <row r="41" spans="1:14" ht="12" customHeight="1" x14ac:dyDescent="0.2">
      <c r="A41" s="16" t="s">
        <v>330</v>
      </c>
    </row>
    <row r="42" spans="1:14" ht="12" customHeight="1" x14ac:dyDescent="0.2">
      <c r="A42" s="85" t="str">
        <f>'FY2015 Detail'!B40</f>
        <v>s:\finance\bargain\FY18 allocation\Summary of FY2019 Institutional Allocation Draft</v>
      </c>
      <c r="D42" s="192"/>
      <c r="E42" s="192"/>
      <c r="F42" s="192"/>
      <c r="G42" s="192"/>
    </row>
    <row r="43" spans="1:14" ht="12" customHeight="1" x14ac:dyDescent="0.2">
      <c r="A43" s="85"/>
      <c r="D43" s="192"/>
      <c r="E43" s="192"/>
      <c r="F43" s="192"/>
      <c r="G43" s="192"/>
    </row>
    <row r="44" spans="1:14" ht="15" customHeight="1" x14ac:dyDescent="0.2">
      <c r="C44" s="52"/>
      <c r="D44" s="52"/>
      <c r="G44" s="193"/>
      <c r="J44" s="52"/>
      <c r="K44" s="52"/>
      <c r="L44" s="312"/>
    </row>
    <row r="47" spans="1:14" ht="15" customHeight="1" x14ac:dyDescent="0.2">
      <c r="D47" s="194"/>
      <c r="E47" s="194"/>
      <c r="F47" s="194"/>
    </row>
    <row r="49" spans="7:7" ht="15" customHeight="1" x14ac:dyDescent="0.2">
      <c r="G49" s="194"/>
    </row>
  </sheetData>
  <phoneticPr fontId="11" type="noConversion"/>
  <pageMargins left="0.31" right="0.13" top="0.56000000000000005" bottom="0.24" header="0.5" footer="0.21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  <pageSetUpPr fitToPage="1"/>
  </sheetPr>
  <dimension ref="A1:H44"/>
  <sheetViews>
    <sheetView topLeftCell="A13" zoomScale="80" workbookViewId="0">
      <selection activeCell="A41" sqref="A41"/>
    </sheetView>
  </sheetViews>
  <sheetFormatPr defaultRowHeight="15" customHeight="1" x14ac:dyDescent="0.2"/>
  <cols>
    <col min="1" max="1" width="6.28515625" style="54" customWidth="1"/>
    <col min="2" max="2" width="32.28515625" style="54" customWidth="1"/>
    <col min="3" max="3" width="22.85546875" style="54" customWidth="1"/>
    <col min="4" max="4" width="17.42578125" style="54" customWidth="1"/>
    <col min="5" max="5" width="23.85546875" style="54" customWidth="1"/>
    <col min="6" max="6" width="10.28515625" style="52" customWidth="1"/>
    <col min="7" max="7" width="24.7109375" style="104" customWidth="1"/>
    <col min="8" max="16384" width="9.140625" style="54"/>
  </cols>
  <sheetData>
    <row r="1" spans="1:8" ht="15" customHeight="1" x14ac:dyDescent="0.25">
      <c r="A1" s="106" t="s">
        <v>72</v>
      </c>
      <c r="G1" s="490" t="s">
        <v>319</v>
      </c>
    </row>
    <row r="2" spans="1:8" ht="15" customHeight="1" x14ac:dyDescent="0.2">
      <c r="A2" s="87" t="s">
        <v>92</v>
      </c>
    </row>
    <row r="3" spans="1:8" ht="15" customHeight="1" x14ac:dyDescent="0.2">
      <c r="A3" s="87" t="s">
        <v>295</v>
      </c>
    </row>
    <row r="4" spans="1:8" ht="15" customHeight="1" x14ac:dyDescent="0.2">
      <c r="A4" s="87" t="s">
        <v>187</v>
      </c>
      <c r="E4" s="103" t="s">
        <v>121</v>
      </c>
      <c r="G4" s="140" t="s">
        <v>93</v>
      </c>
    </row>
    <row r="5" spans="1:8" s="103" customFormat="1" ht="15" customHeight="1" x14ac:dyDescent="0.2">
      <c r="C5" s="103" t="s">
        <v>81</v>
      </c>
      <c r="D5" s="103" t="s">
        <v>74</v>
      </c>
      <c r="E5" s="103" t="s">
        <v>75</v>
      </c>
      <c r="F5" s="141" t="s">
        <v>76</v>
      </c>
      <c r="G5" s="140" t="s">
        <v>77</v>
      </c>
    </row>
    <row r="6" spans="1:8" ht="42" customHeight="1" x14ac:dyDescent="0.2">
      <c r="A6" s="142" t="s">
        <v>0</v>
      </c>
      <c r="B6" s="142" t="s">
        <v>1</v>
      </c>
      <c r="C6" s="143" t="s">
        <v>296</v>
      </c>
      <c r="D6" s="144" t="s">
        <v>124</v>
      </c>
      <c r="E6" s="143" t="s">
        <v>297</v>
      </c>
      <c r="F6" s="142" t="s">
        <v>294</v>
      </c>
      <c r="G6" s="145" t="s">
        <v>94</v>
      </c>
    </row>
    <row r="7" spans="1:8" ht="15" customHeight="1" x14ac:dyDescent="0.2">
      <c r="A7" s="146"/>
      <c r="B7" s="146"/>
      <c r="C7" s="147"/>
      <c r="D7" s="148"/>
      <c r="E7" s="148"/>
      <c r="F7" s="149"/>
    </row>
    <row r="8" spans="1:8" ht="15" customHeight="1" x14ac:dyDescent="0.2">
      <c r="A8" s="10" t="s">
        <v>2</v>
      </c>
      <c r="B8" s="3" t="s">
        <v>133</v>
      </c>
      <c r="C8" s="150">
        <v>2434566.4300000002</v>
      </c>
      <c r="D8" s="151">
        <f>'Revenue Offset'!G8</f>
        <v>0.47637790363380472</v>
      </c>
      <c r="E8" s="152">
        <f t="shared" ref="E8:E13" si="0">C8*(1-D8)</f>
        <v>1274792.7778193641</v>
      </c>
      <c r="F8" s="53">
        <f>'FY2015 Detail'!D6</f>
        <v>1944</v>
      </c>
      <c r="G8" s="92">
        <f>E8/F8</f>
        <v>655.7576017589322</v>
      </c>
    </row>
    <row r="9" spans="1:8" ht="15" customHeight="1" x14ac:dyDescent="0.2">
      <c r="A9" s="10" t="s">
        <v>4</v>
      </c>
      <c r="B9" s="3" t="s">
        <v>129</v>
      </c>
      <c r="C9" s="150">
        <v>8580611.8699999992</v>
      </c>
      <c r="D9" s="151">
        <f>'Revenue Offset'!G9</f>
        <v>0.54279634039250968</v>
      </c>
      <c r="E9" s="152">
        <f>C9*(1-D9)</f>
        <v>3923087.1486354708</v>
      </c>
      <c r="F9" s="53">
        <f>'FY2015 Detail'!D7</f>
        <v>6709</v>
      </c>
      <c r="G9" s="92">
        <f t="shared" ref="G9:G37" si="1">E9/F9</f>
        <v>584.74991036450604</v>
      </c>
    </row>
    <row r="10" spans="1:8" ht="15" customHeight="1" x14ac:dyDescent="0.2">
      <c r="A10" s="10" t="s">
        <v>5</v>
      </c>
      <c r="B10" s="3" t="s">
        <v>118</v>
      </c>
      <c r="C10" s="173">
        <v>9081781.8100000005</v>
      </c>
      <c r="D10" s="151">
        <f>'Revenue Offset'!G10</f>
        <v>0.6243351814828747</v>
      </c>
      <c r="E10" s="152">
        <f t="shared" si="0"/>
        <v>3411705.9154657801</v>
      </c>
      <c r="F10" s="53">
        <f>'FY2015 Detail'!D8</f>
        <v>4913</v>
      </c>
      <c r="G10" s="92">
        <f t="shared" si="1"/>
        <v>694.42416353872989</v>
      </c>
      <c r="H10" s="55"/>
    </row>
    <row r="11" spans="1:8" ht="15" customHeight="1" x14ac:dyDescent="0.2">
      <c r="A11" s="10" t="s">
        <v>6</v>
      </c>
      <c r="B11" s="3" t="s">
        <v>7</v>
      </c>
      <c r="C11" s="173">
        <v>3883156.99</v>
      </c>
      <c r="D11" s="151">
        <f>'Revenue Offset'!G11</f>
        <v>0.45306481524775344</v>
      </c>
      <c r="E11" s="152">
        <f t="shared" si="0"/>
        <v>2123835.1857476276</v>
      </c>
      <c r="F11" s="53">
        <f>'FY2015 Detail'!D9</f>
        <v>2612</v>
      </c>
      <c r="G11" s="92">
        <f t="shared" si="1"/>
        <v>813.10688581455884</v>
      </c>
      <c r="H11" s="55"/>
    </row>
    <row r="12" spans="1:8" ht="15" customHeight="1" x14ac:dyDescent="0.2">
      <c r="A12" s="10" t="s">
        <v>8</v>
      </c>
      <c r="B12" s="3" t="s">
        <v>9</v>
      </c>
      <c r="C12" s="150">
        <v>6168683.3399999999</v>
      </c>
      <c r="D12" s="151">
        <f>'Revenue Offset'!G12</f>
        <v>0.54269310141843952</v>
      </c>
      <c r="E12" s="152">
        <f t="shared" si="0"/>
        <v>2820981.4465471418</v>
      </c>
      <c r="F12" s="53">
        <f>'FY2015 Detail'!D10</f>
        <v>5978</v>
      </c>
      <c r="G12" s="92">
        <f t="shared" si="1"/>
        <v>471.89385188142217</v>
      </c>
      <c r="H12" s="55"/>
    </row>
    <row r="13" spans="1:8" ht="15" customHeight="1" x14ac:dyDescent="0.2">
      <c r="A13" s="10" t="s">
        <v>10</v>
      </c>
      <c r="B13" s="3" t="s">
        <v>156</v>
      </c>
      <c r="C13" s="150">
        <v>6411724.4000000004</v>
      </c>
      <c r="D13" s="151">
        <f>'Revenue Offset'!G13</f>
        <v>0.51561172547460099</v>
      </c>
      <c r="E13" s="152">
        <f t="shared" si="0"/>
        <v>3105764.1188483993</v>
      </c>
      <c r="F13" s="53">
        <f>'FY2015 Detail'!D11</f>
        <v>5147</v>
      </c>
      <c r="G13" s="92">
        <f t="shared" si="1"/>
        <v>603.412496376219</v>
      </c>
      <c r="H13" s="55"/>
    </row>
    <row r="14" spans="1:8" ht="15" customHeight="1" x14ac:dyDescent="0.2">
      <c r="A14" s="10" t="s">
        <v>12</v>
      </c>
      <c r="B14" s="3" t="s">
        <v>13</v>
      </c>
      <c r="C14" s="150">
        <v>1591177.4</v>
      </c>
      <c r="D14" s="151">
        <f>'Revenue Offset'!G14</f>
        <v>0.42408712951772581</v>
      </c>
      <c r="E14" s="152">
        <f t="shared" ref="E14:E37" si="2">C14*(1-D14)</f>
        <v>916379.54388052179</v>
      </c>
      <c r="F14" s="53">
        <f>'FY2015 Detail'!D12</f>
        <v>1121</v>
      </c>
      <c r="G14" s="92">
        <f t="shared" si="1"/>
        <v>817.46614083900249</v>
      </c>
      <c r="H14" s="55"/>
    </row>
    <row r="15" spans="1:8" ht="15" customHeight="1" x14ac:dyDescent="0.2">
      <c r="A15" s="10" t="s">
        <v>14</v>
      </c>
      <c r="B15" s="3" t="s">
        <v>145</v>
      </c>
      <c r="C15" s="150">
        <v>4493716.6399999997</v>
      </c>
      <c r="D15" s="151">
        <f>'Revenue Offset'!G15</f>
        <v>0.45324969293165529</v>
      </c>
      <c r="E15" s="152">
        <f t="shared" si="2"/>
        <v>2456940.95279813</v>
      </c>
      <c r="F15" s="53">
        <f>'FY2015 Detail'!D13</f>
        <v>3505</v>
      </c>
      <c r="G15" s="92">
        <f t="shared" si="1"/>
        <v>700.98172690388878</v>
      </c>
      <c r="H15" s="55"/>
    </row>
    <row r="16" spans="1:8" ht="15" customHeight="1" x14ac:dyDescent="0.2">
      <c r="A16" s="10" t="s">
        <v>16</v>
      </c>
      <c r="B16" s="3" t="s">
        <v>17</v>
      </c>
      <c r="C16" s="150">
        <v>2893977.81</v>
      </c>
      <c r="D16" s="151">
        <f>'Revenue Offset'!G16</f>
        <v>0.49705898124292108</v>
      </c>
      <c r="E16" s="152">
        <f t="shared" si="2"/>
        <v>1455500.14802178</v>
      </c>
      <c r="F16" s="53">
        <f>'FY2015 Detail'!D14</f>
        <v>3160</v>
      </c>
      <c r="G16" s="92">
        <f t="shared" si="1"/>
        <v>460.60131266512025</v>
      </c>
      <c r="H16" s="55"/>
    </row>
    <row r="17" spans="1:8" ht="15" customHeight="1" x14ac:dyDescent="0.2">
      <c r="A17" s="10" t="s">
        <v>18</v>
      </c>
      <c r="B17" s="3" t="s">
        <v>146</v>
      </c>
      <c r="C17" s="150">
        <v>19439249.09</v>
      </c>
      <c r="D17" s="151">
        <f>'Revenue Offset'!G17</f>
        <v>0.62684270913299178</v>
      </c>
      <c r="E17" s="152">
        <f t="shared" si="2"/>
        <v>7253897.5269133551</v>
      </c>
      <c r="F17" s="53">
        <f>'FY2015 Detail'!D15</f>
        <v>6168</v>
      </c>
      <c r="G17" s="92">
        <f t="shared" si="1"/>
        <v>1176.0534252453558</v>
      </c>
      <c r="H17" s="55"/>
    </row>
    <row r="18" spans="1:8" ht="15" customHeight="1" x14ac:dyDescent="0.2">
      <c r="A18" s="10" t="s">
        <v>19</v>
      </c>
      <c r="B18" s="3" t="s">
        <v>134</v>
      </c>
      <c r="C18" s="173">
        <v>5520248.6200000001</v>
      </c>
      <c r="D18" s="151">
        <f>'Revenue Offset'!G18</f>
        <v>0.51006553977406088</v>
      </c>
      <c r="E18" s="152">
        <f t="shared" si="2"/>
        <v>2704560.0279526855</v>
      </c>
      <c r="F18" s="53">
        <f>'FY2015 Detail'!D16</f>
        <v>5074</v>
      </c>
      <c r="G18" s="92">
        <f t="shared" si="1"/>
        <v>533.0232613229573</v>
      </c>
      <c r="H18" s="55"/>
    </row>
    <row r="19" spans="1:8" ht="15" customHeight="1" x14ac:dyDescent="0.2">
      <c r="A19" s="10" t="s">
        <v>21</v>
      </c>
      <c r="B19" s="121" t="s">
        <v>188</v>
      </c>
      <c r="C19" s="150">
        <v>1982216.17</v>
      </c>
      <c r="D19" s="151">
        <f>'Revenue Offset'!G19</f>
        <v>0.44431114194542998</v>
      </c>
      <c r="E19" s="152">
        <f t="shared" si="2"/>
        <v>1101495.4399246033</v>
      </c>
      <c r="F19" s="53">
        <f>'FY2015 Detail'!D17</f>
        <v>1286</v>
      </c>
      <c r="G19" s="92">
        <f t="shared" si="1"/>
        <v>856.52833586672114</v>
      </c>
      <c r="H19" s="55"/>
    </row>
    <row r="20" spans="1:8" ht="15" customHeight="1" x14ac:dyDescent="0.2">
      <c r="A20" s="37" t="s">
        <v>114</v>
      </c>
      <c r="B20" s="3" t="s">
        <v>147</v>
      </c>
      <c r="C20" s="150">
        <v>5350169.8600000003</v>
      </c>
      <c r="D20" s="151">
        <f>'Revenue Offset'!G20</f>
        <v>0.5039903086783919</v>
      </c>
      <c r="E20" s="152">
        <f t="shared" si="2"/>
        <v>2653736.1007767715</v>
      </c>
      <c r="F20" s="53">
        <f>'FY2015 Detail'!D18</f>
        <v>4202</v>
      </c>
      <c r="G20" s="92">
        <f t="shared" si="1"/>
        <v>631.54119485406272</v>
      </c>
      <c r="H20" s="55"/>
    </row>
    <row r="21" spans="1:8" ht="15" customHeight="1" x14ac:dyDescent="0.2">
      <c r="A21" s="10" t="s">
        <v>26</v>
      </c>
      <c r="B21" s="3" t="s">
        <v>62</v>
      </c>
      <c r="C21" s="150">
        <v>11489191.66</v>
      </c>
      <c r="D21" s="151">
        <f>'Revenue Offset'!G21</f>
        <v>0.58704406864030156</v>
      </c>
      <c r="E21" s="152">
        <f t="shared" si="2"/>
        <v>4744529.8425253797</v>
      </c>
      <c r="F21" s="53">
        <f>'FY2015 Detail'!D19</f>
        <v>5378</v>
      </c>
      <c r="G21" s="92">
        <f t="shared" si="1"/>
        <v>882.21082977415017</v>
      </c>
      <c r="H21" s="55"/>
    </row>
    <row r="22" spans="1:8" ht="15" customHeight="1" x14ac:dyDescent="0.2">
      <c r="A22" s="10" t="s">
        <v>22</v>
      </c>
      <c r="B22" s="3" t="s">
        <v>23</v>
      </c>
      <c r="C22" s="150">
        <v>26746778.52</v>
      </c>
      <c r="D22" s="151">
        <f>'Revenue Offset'!G22</f>
        <v>0.65546373065460628</v>
      </c>
      <c r="E22" s="152">
        <f t="shared" si="2"/>
        <v>9215235.2882883102</v>
      </c>
      <c r="F22" s="53">
        <f>'FY2015 Detail'!D20</f>
        <v>13657</v>
      </c>
      <c r="G22" s="92">
        <f t="shared" si="1"/>
        <v>674.76278013387343</v>
      </c>
      <c r="H22" s="55"/>
    </row>
    <row r="23" spans="1:8" ht="15" customHeight="1" x14ac:dyDescent="0.2">
      <c r="A23" s="10" t="s">
        <v>24</v>
      </c>
      <c r="B23" s="3" t="s">
        <v>143</v>
      </c>
      <c r="C23" s="150">
        <v>1989559.98</v>
      </c>
      <c r="D23" s="151">
        <f>'Revenue Offset'!G23</f>
        <v>0.46995016730102229</v>
      </c>
      <c r="E23" s="152">
        <f t="shared" si="2"/>
        <v>1054565.9345435814</v>
      </c>
      <c r="F23" s="53">
        <f>'FY2015 Detail'!D21</f>
        <v>1895</v>
      </c>
      <c r="G23" s="92">
        <f t="shared" si="1"/>
        <v>556.49917390162614</v>
      </c>
      <c r="H23" s="55"/>
    </row>
    <row r="24" spans="1:8" ht="15" customHeight="1" x14ac:dyDescent="0.2">
      <c r="A24" s="10" t="s">
        <v>27</v>
      </c>
      <c r="B24" s="3" t="s">
        <v>137</v>
      </c>
      <c r="C24" s="150">
        <v>9348095.0099999998</v>
      </c>
      <c r="D24" s="151">
        <f>'Revenue Offset'!G24</f>
        <v>0.60377951932445695</v>
      </c>
      <c r="E24" s="152">
        <f t="shared" si="2"/>
        <v>3703906.6982628452</v>
      </c>
      <c r="F24" s="53">
        <f>'FY2015 Detail'!D22</f>
        <v>6915</v>
      </c>
      <c r="G24" s="92">
        <f t="shared" si="1"/>
        <v>535.63365123106939</v>
      </c>
      <c r="H24" s="55"/>
    </row>
    <row r="25" spans="1:8" ht="15" customHeight="1" x14ac:dyDescent="0.2">
      <c r="A25" s="10" t="s">
        <v>29</v>
      </c>
      <c r="B25" s="3" t="s">
        <v>138</v>
      </c>
      <c r="C25" s="150">
        <v>6838173.0099999998</v>
      </c>
      <c r="D25" s="151">
        <f>'Revenue Offset'!G25</f>
        <v>0.55876878580612266</v>
      </c>
      <c r="E25" s="152">
        <f t="shared" si="2"/>
        <v>3017215.380070101</v>
      </c>
      <c r="F25" s="53">
        <f>'FY2015 Detail'!D23</f>
        <v>4198</v>
      </c>
      <c r="G25" s="92">
        <f t="shared" si="1"/>
        <v>718.72686519059096</v>
      </c>
      <c r="H25" s="55"/>
    </row>
    <row r="26" spans="1:8" ht="15" customHeight="1" x14ac:dyDescent="0.2">
      <c r="A26" s="37" t="s">
        <v>123</v>
      </c>
      <c r="B26" s="3" t="s">
        <v>63</v>
      </c>
      <c r="C26" s="173">
        <v>3834498.93</v>
      </c>
      <c r="D26" s="151">
        <f>'Revenue Offset'!G26</f>
        <v>0.46559118219121093</v>
      </c>
      <c r="E26" s="152">
        <f t="shared" si="2"/>
        <v>2049190.040070367</v>
      </c>
      <c r="F26" s="53">
        <f>'FY2015 Detail'!D24</f>
        <v>3586</v>
      </c>
      <c r="G26" s="92">
        <f t="shared" si="1"/>
        <v>571.44172896552345</v>
      </c>
      <c r="H26" s="55"/>
    </row>
    <row r="27" spans="1:8" ht="15" customHeight="1" x14ac:dyDescent="0.2">
      <c r="A27" s="10" t="s">
        <v>31</v>
      </c>
      <c r="B27" s="3" t="s">
        <v>139</v>
      </c>
      <c r="C27" s="150">
        <v>3656255.85</v>
      </c>
      <c r="D27" s="151">
        <f>'Revenue Offset'!G27</f>
        <v>0.47714027146384802</v>
      </c>
      <c r="E27" s="152">
        <f t="shared" si="2"/>
        <v>1911708.941189718</v>
      </c>
      <c r="F27" s="53">
        <f>'FY2015 Detail'!D25</f>
        <v>2227</v>
      </c>
      <c r="G27" s="92">
        <f t="shared" si="1"/>
        <v>858.42341319699949</v>
      </c>
      <c r="H27" s="55"/>
    </row>
    <row r="28" spans="1:8" ht="15" customHeight="1" x14ac:dyDescent="0.2">
      <c r="A28" s="10" t="s">
        <v>33</v>
      </c>
      <c r="B28" s="3" t="s">
        <v>135</v>
      </c>
      <c r="C28" s="150">
        <v>658991.72</v>
      </c>
      <c r="D28" s="151">
        <f>'Revenue Offset'!G28</f>
        <v>0.41314995529542081</v>
      </c>
      <c r="E28" s="152">
        <f t="shared" si="2"/>
        <v>386729.32034194755</v>
      </c>
      <c r="F28" s="53">
        <f>'FY2015 Detail'!D26</f>
        <v>742</v>
      </c>
      <c r="G28" s="92">
        <f t="shared" si="1"/>
        <v>521.19854493523928</v>
      </c>
      <c r="H28" s="55"/>
    </row>
    <row r="29" spans="1:8" ht="15" customHeight="1" x14ac:dyDescent="0.2">
      <c r="A29" s="10" t="s">
        <v>35</v>
      </c>
      <c r="B29" s="3" t="s">
        <v>36</v>
      </c>
      <c r="C29" s="150">
        <v>2989463.24</v>
      </c>
      <c r="D29" s="151">
        <f>'Revenue Offset'!G29</f>
        <v>0.48426000157658866</v>
      </c>
      <c r="E29" s="152">
        <f>C29*(1-D29)</f>
        <v>1541785.7666844463</v>
      </c>
      <c r="F29" s="53">
        <f>'FY2015 Detail'!D27</f>
        <v>2754</v>
      </c>
      <c r="G29" s="92">
        <f t="shared" si="1"/>
        <v>559.83506415557235</v>
      </c>
      <c r="H29" s="55"/>
    </row>
    <row r="30" spans="1:8" ht="15" customHeight="1" x14ac:dyDescent="0.2">
      <c r="A30" s="10" t="s">
        <v>37</v>
      </c>
      <c r="B30" s="3" t="s">
        <v>136</v>
      </c>
      <c r="C30" s="150">
        <v>2752312.9</v>
      </c>
      <c r="D30" s="151">
        <f>'Revenue Offset'!G30</f>
        <v>0.48594140940697578</v>
      </c>
      <c r="E30" s="152">
        <f>C30*(1-D30)</f>
        <v>1414850.0902449989</v>
      </c>
      <c r="F30" s="53">
        <f>'FY2015 Detail'!D28</f>
        <v>2019</v>
      </c>
      <c r="G30" s="92">
        <f t="shared" si="1"/>
        <v>700.7677514834071</v>
      </c>
      <c r="H30" s="55"/>
    </row>
    <row r="31" spans="1:8" ht="15" customHeight="1" x14ac:dyDescent="0.2">
      <c r="A31" s="10" t="s">
        <v>39</v>
      </c>
      <c r="B31" s="3" t="s">
        <v>140</v>
      </c>
      <c r="C31" s="150">
        <v>6575908.79</v>
      </c>
      <c r="D31" s="151">
        <f>'Revenue Offset'!G31</f>
        <v>0.56211497759633056</v>
      </c>
      <c r="E31" s="152">
        <f t="shared" si="2"/>
        <v>2879491.9678336368</v>
      </c>
      <c r="F31" s="53">
        <f>'FY2015 Detail'!D29</f>
        <v>3682</v>
      </c>
      <c r="G31" s="92">
        <f t="shared" si="1"/>
        <v>782.04561864031416</v>
      </c>
      <c r="H31" s="55"/>
    </row>
    <row r="32" spans="1:8" ht="15" customHeight="1" x14ac:dyDescent="0.2">
      <c r="A32" s="10" t="s">
        <v>46</v>
      </c>
      <c r="B32" s="3" t="s">
        <v>70</v>
      </c>
      <c r="C32" s="150">
        <v>3932909.25</v>
      </c>
      <c r="D32" s="151">
        <f>'Revenue Offset'!G32</f>
        <v>0.57477787892645948</v>
      </c>
      <c r="E32" s="152">
        <f t="shared" si="2"/>
        <v>1672360.0132747474</v>
      </c>
      <c r="F32" s="53">
        <f>'FY2015 Detail'!D30</f>
        <v>4637</v>
      </c>
      <c r="G32" s="92">
        <f t="shared" si="1"/>
        <v>360.65559915349309</v>
      </c>
      <c r="H32" s="55"/>
    </row>
    <row r="33" spans="1:8" ht="15" customHeight="1" x14ac:dyDescent="0.2">
      <c r="A33" s="10" t="s">
        <v>41</v>
      </c>
      <c r="B33" s="3" t="s">
        <v>122</v>
      </c>
      <c r="C33" s="150">
        <v>3359570.21</v>
      </c>
      <c r="D33" s="151">
        <f>'Revenue Offset'!G33</f>
        <v>0.46865714149555238</v>
      </c>
      <c r="E33" s="152">
        <f>C33*(1-D33)</f>
        <v>1785083.6387277874</v>
      </c>
      <c r="F33" s="53">
        <f>'FY2015 Detail'!D31</f>
        <v>2159</v>
      </c>
      <c r="G33" s="92">
        <f>E33/F33</f>
        <v>826.81039311152733</v>
      </c>
      <c r="H33" s="55"/>
    </row>
    <row r="34" spans="1:8" ht="15" customHeight="1" x14ac:dyDescent="0.2">
      <c r="A34" s="10" t="s">
        <v>42</v>
      </c>
      <c r="B34" s="3" t="s">
        <v>69</v>
      </c>
      <c r="C34" s="150">
        <v>5120262.3</v>
      </c>
      <c r="D34" s="151">
        <f>'Revenue Offset'!G34</f>
        <v>0.55660120522880552</v>
      </c>
      <c r="E34" s="152">
        <f t="shared" si="2"/>
        <v>2270318.1327323844</v>
      </c>
      <c r="F34" s="53">
        <f>'FY2015 Detail'!D32</f>
        <v>3760</v>
      </c>
      <c r="G34" s="92">
        <f t="shared" si="1"/>
        <v>603.8080140245703</v>
      </c>
      <c r="H34" s="55"/>
    </row>
    <row r="35" spans="1:8" ht="15" customHeight="1" x14ac:dyDescent="0.2">
      <c r="A35" s="10" t="s">
        <v>43</v>
      </c>
      <c r="B35" s="3" t="s">
        <v>44</v>
      </c>
      <c r="C35" s="150">
        <v>21478819.629999999</v>
      </c>
      <c r="D35" s="151">
        <f>'Revenue Offset'!G35</f>
        <v>0.59073198573656738</v>
      </c>
      <c r="E35" s="152">
        <f t="shared" si="2"/>
        <v>8790593.8586925361</v>
      </c>
      <c r="F35" s="53">
        <f>'FY2015 Detail'!D33</f>
        <v>11480</v>
      </c>
      <c r="G35" s="92">
        <f t="shared" si="1"/>
        <v>765.73117235997699</v>
      </c>
      <c r="H35" s="55"/>
    </row>
    <row r="36" spans="1:8" ht="15" customHeight="1" x14ac:dyDescent="0.2">
      <c r="A36" s="10" t="s">
        <v>45</v>
      </c>
      <c r="B36" s="3" t="s">
        <v>141</v>
      </c>
      <c r="C36" s="150">
        <v>3089290.18</v>
      </c>
      <c r="D36" s="151">
        <f>'Revenue Offset'!G36</f>
        <v>0.54922558903724827</v>
      </c>
      <c r="E36" s="152">
        <f t="shared" si="2"/>
        <v>1392572.9611825133</v>
      </c>
      <c r="F36" s="53">
        <f>'FY2015 Detail'!D34</f>
        <v>3202</v>
      </c>
      <c r="G36" s="92">
        <f t="shared" si="1"/>
        <v>434.90723334869244</v>
      </c>
      <c r="H36" s="55"/>
    </row>
    <row r="37" spans="1:8" ht="15" customHeight="1" x14ac:dyDescent="0.2">
      <c r="A37" s="10" t="s">
        <v>47</v>
      </c>
      <c r="B37" s="3" t="s">
        <v>48</v>
      </c>
      <c r="C37" s="150">
        <v>14765137.07</v>
      </c>
      <c r="D37" s="151">
        <f>'Revenue Offset'!G37</f>
        <v>0.61802758270138181</v>
      </c>
      <c r="E37" s="152">
        <f t="shared" si="2"/>
        <v>5639875.0983733367</v>
      </c>
      <c r="F37" s="53">
        <f>'FY2015 Detail'!D35</f>
        <v>7530</v>
      </c>
      <c r="G37" s="92">
        <f t="shared" si="1"/>
        <v>748.98739686232886</v>
      </c>
      <c r="H37" s="55"/>
    </row>
    <row r="38" spans="1:8" ht="15" customHeight="1" x14ac:dyDescent="0.2">
      <c r="G38" s="55"/>
    </row>
    <row r="39" spans="1:8" ht="15" customHeight="1" x14ac:dyDescent="0.2">
      <c r="B39" s="54" t="s">
        <v>49</v>
      </c>
      <c r="C39" s="52">
        <f>SUM(C8:C38)</f>
        <v>206456498.68000004</v>
      </c>
      <c r="D39" s="153">
        <f>'Revenue Offset'!G39</f>
        <v>0.56169765153175266</v>
      </c>
      <c r="E39" s="52">
        <f>SUM(E8:E38)</f>
        <v>88672689.306370273</v>
      </c>
      <c r="F39" s="52">
        <f>SUM(F8:F38)</f>
        <v>131640</v>
      </c>
      <c r="G39" s="55">
        <f>+E39/F39</f>
        <v>673.5998883802057</v>
      </c>
    </row>
    <row r="40" spans="1:8" ht="12" customHeight="1" x14ac:dyDescent="0.2">
      <c r="C40" s="154"/>
    </row>
    <row r="41" spans="1:8" ht="15" customHeight="1" x14ac:dyDescent="0.2">
      <c r="A41" s="16" t="s">
        <v>330</v>
      </c>
      <c r="E41" s="155"/>
    </row>
    <row r="42" spans="1:8" ht="15" customHeight="1" x14ac:dyDescent="0.2">
      <c r="A42" s="129" t="str">
        <f>'FY2015 Detail'!B40</f>
        <v>s:\finance\bargain\FY18 allocation\Summary of FY2019 Institutional Allocation Draft</v>
      </c>
    </row>
    <row r="43" spans="1:8" ht="15" customHeight="1" x14ac:dyDescent="0.2">
      <c r="A43" s="129"/>
    </row>
    <row r="44" spans="1:8" ht="15" customHeight="1" x14ac:dyDescent="0.2">
      <c r="C44" s="55"/>
      <c r="D44" s="134"/>
      <c r="E44" s="55"/>
      <c r="F44" s="55"/>
    </row>
  </sheetData>
  <phoneticPr fontId="11" type="noConversion"/>
  <pageMargins left="0.75" right="0.4" top="0.64" bottom="0.28000000000000003" header="0.5" footer="0.24"/>
  <pageSetup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-0.249977111117893"/>
    <pageSetUpPr fitToPage="1"/>
  </sheetPr>
  <dimension ref="A1:S47"/>
  <sheetViews>
    <sheetView topLeftCell="A10" zoomScale="80" zoomScaleNormal="80" workbookViewId="0">
      <selection activeCell="A42" sqref="A42"/>
    </sheetView>
  </sheetViews>
  <sheetFormatPr defaultRowHeight="12.75" x14ac:dyDescent="0.2"/>
  <cols>
    <col min="1" max="1" width="7.7109375" style="54" customWidth="1"/>
    <col min="2" max="2" width="30.7109375" style="157" customWidth="1"/>
    <col min="3" max="3" width="8.5703125" style="55" customWidth="1"/>
    <col min="4" max="4" width="12.7109375" style="55" customWidth="1"/>
    <col min="5" max="5" width="9.28515625" style="55" customWidth="1"/>
    <col min="6" max="6" width="12.7109375" style="55" bestFit="1" customWidth="1"/>
    <col min="7" max="7" width="11.42578125" style="55" customWidth="1"/>
    <col min="8" max="9" width="12" style="55" customWidth="1"/>
    <col min="10" max="10" width="16.140625" style="55" customWidth="1"/>
    <col min="11" max="11" width="12.28515625" style="55" customWidth="1"/>
    <col min="12" max="12" width="10.5703125" style="87" customWidth="1"/>
    <col min="13" max="13" width="14" style="158" customWidth="1"/>
    <col min="14" max="14" width="7.7109375" style="54" customWidth="1"/>
    <col min="15" max="15" width="30.7109375" style="157" customWidth="1"/>
    <col min="16" max="16" width="12.28515625" style="52" customWidth="1"/>
    <col min="17" max="18" width="16.42578125" style="87" customWidth="1"/>
    <col min="19" max="19" width="16.28515625" style="54" bestFit="1" customWidth="1"/>
    <col min="20" max="20" width="3.42578125" style="54" customWidth="1"/>
    <col min="21" max="16384" width="9.140625" style="54"/>
  </cols>
  <sheetData>
    <row r="1" spans="1:19" ht="15.75" x14ac:dyDescent="0.25">
      <c r="A1" s="156" t="s">
        <v>72</v>
      </c>
      <c r="M1" s="87"/>
      <c r="N1" s="156" t="s">
        <v>72</v>
      </c>
      <c r="R1" s="272"/>
      <c r="S1" s="87" t="s">
        <v>320</v>
      </c>
    </row>
    <row r="2" spans="1:19" x14ac:dyDescent="0.2">
      <c r="A2" s="108" t="s">
        <v>131</v>
      </c>
      <c r="N2" s="108" t="s">
        <v>131</v>
      </c>
      <c r="R2" s="171"/>
    </row>
    <row r="3" spans="1:19" x14ac:dyDescent="0.2">
      <c r="A3" s="87" t="s">
        <v>334</v>
      </c>
      <c r="K3" s="87" t="s">
        <v>320</v>
      </c>
      <c r="N3" s="87" t="s">
        <v>334</v>
      </c>
      <c r="R3" s="272"/>
    </row>
    <row r="4" spans="1:19" s="159" customFormat="1" ht="13.5" x14ac:dyDescent="0.25">
      <c r="A4" s="273" t="s">
        <v>171</v>
      </c>
      <c r="B4" s="160"/>
      <c r="N4" s="273" t="s">
        <v>172</v>
      </c>
      <c r="O4" s="160"/>
    </row>
    <row r="5" spans="1:19" s="274" customFormat="1" ht="12.75" customHeight="1" x14ac:dyDescent="0.2">
      <c r="B5" s="275"/>
      <c r="C5" s="161"/>
      <c r="D5" s="161"/>
      <c r="E5" s="161"/>
      <c r="F5" s="90" t="s">
        <v>102</v>
      </c>
      <c r="G5" s="161"/>
      <c r="H5" s="161"/>
      <c r="I5" s="161"/>
      <c r="J5" s="90" t="s">
        <v>173</v>
      </c>
      <c r="K5" s="90" t="s">
        <v>174</v>
      </c>
      <c r="L5" s="91"/>
      <c r="M5" s="162" t="s">
        <v>175</v>
      </c>
      <c r="O5" s="275"/>
      <c r="P5" s="162" t="s">
        <v>103</v>
      </c>
      <c r="Q5" s="91" t="s">
        <v>176</v>
      </c>
      <c r="R5" s="91"/>
    </row>
    <row r="6" spans="1:19" s="103" customFormat="1" x14ac:dyDescent="0.2">
      <c r="B6" s="91"/>
      <c r="C6" s="90" t="s">
        <v>81</v>
      </c>
      <c r="D6" s="90" t="s">
        <v>74</v>
      </c>
      <c r="E6" s="90" t="s">
        <v>75</v>
      </c>
      <c r="F6" s="90" t="s">
        <v>76</v>
      </c>
      <c r="G6" s="90" t="s">
        <v>77</v>
      </c>
      <c r="H6" s="90" t="s">
        <v>78</v>
      </c>
      <c r="I6" s="90" t="s">
        <v>83</v>
      </c>
      <c r="J6" s="90" t="s">
        <v>84</v>
      </c>
      <c r="K6" s="91" t="s">
        <v>116</v>
      </c>
      <c r="L6" s="91" t="s">
        <v>128</v>
      </c>
      <c r="M6" s="91" t="s">
        <v>104</v>
      </c>
      <c r="O6" s="91"/>
      <c r="P6" s="91" t="s">
        <v>177</v>
      </c>
      <c r="Q6" s="91" t="s">
        <v>178</v>
      </c>
      <c r="R6" s="91" t="s">
        <v>179</v>
      </c>
    </row>
    <row r="7" spans="1:19" s="163" customFormat="1" ht="76.5" x14ac:dyDescent="0.2">
      <c r="A7" s="276" t="s">
        <v>0</v>
      </c>
      <c r="B7" s="277" t="s">
        <v>1</v>
      </c>
      <c r="C7" s="278" t="s">
        <v>294</v>
      </c>
      <c r="D7" s="279" t="s">
        <v>180</v>
      </c>
      <c r="E7" s="279" t="s">
        <v>105</v>
      </c>
      <c r="F7" s="279" t="s">
        <v>106</v>
      </c>
      <c r="G7" s="280" t="s">
        <v>301</v>
      </c>
      <c r="H7" s="281" t="s">
        <v>181</v>
      </c>
      <c r="I7" s="281" t="s">
        <v>182</v>
      </c>
      <c r="J7" s="281" t="s">
        <v>183</v>
      </c>
      <c r="K7" s="250" t="s">
        <v>184</v>
      </c>
      <c r="L7" s="282" t="s">
        <v>124</v>
      </c>
      <c r="M7" s="250" t="s">
        <v>107</v>
      </c>
      <c r="N7" s="276" t="s">
        <v>0</v>
      </c>
      <c r="O7" s="277" t="s">
        <v>1</v>
      </c>
      <c r="P7" s="283" t="s">
        <v>108</v>
      </c>
      <c r="Q7" s="250" t="s">
        <v>290</v>
      </c>
      <c r="R7" s="250" t="s">
        <v>302</v>
      </c>
      <c r="S7" s="276" t="s">
        <v>185</v>
      </c>
    </row>
    <row r="8" spans="1:19" s="165" customFormat="1" x14ac:dyDescent="0.2">
      <c r="A8" s="54"/>
      <c r="B8" s="284"/>
      <c r="C8" s="285"/>
      <c r="D8" s="286"/>
      <c r="E8" s="286"/>
      <c r="F8" s="286"/>
      <c r="G8" s="287"/>
      <c r="H8" s="288"/>
      <c r="I8" s="288"/>
      <c r="J8" s="288"/>
      <c r="K8" s="289"/>
      <c r="L8" s="164"/>
      <c r="M8" s="289"/>
      <c r="N8" s="54"/>
      <c r="O8" s="284"/>
      <c r="P8" s="290"/>
      <c r="Q8" s="289"/>
      <c r="R8" s="164"/>
    </row>
    <row r="9" spans="1:19" x14ac:dyDescent="0.2">
      <c r="A9" s="291" t="s">
        <v>2</v>
      </c>
      <c r="B9" s="254" t="s">
        <v>133</v>
      </c>
      <c r="C9" s="292">
        <f>'FY2015 Detail'!D6</f>
        <v>1944</v>
      </c>
      <c r="D9" s="293">
        <v>1245067</v>
      </c>
      <c r="E9" s="293">
        <v>1730</v>
      </c>
      <c r="F9" s="293">
        <f>+C9*E9</f>
        <v>3363120</v>
      </c>
      <c r="G9" s="294">
        <v>3979</v>
      </c>
      <c r="H9" s="295">
        <v>1181514</v>
      </c>
      <c r="I9" s="295">
        <v>512</v>
      </c>
      <c r="J9" s="295">
        <f t="shared" ref="J9:J38" si="0">+G9*I9</f>
        <v>2037248</v>
      </c>
      <c r="K9" s="296">
        <f t="shared" ref="K9:K38" si="1">+H9+J9+D9+F9</f>
        <v>7826949</v>
      </c>
      <c r="L9" s="297">
        <f>'Revenue Offset'!G8</f>
        <v>0.47637790363380472</v>
      </c>
      <c r="M9" s="298">
        <f t="shared" ref="M9:M38" si="2">K9*(1-L9)</f>
        <v>4098363.4435312958</v>
      </c>
      <c r="N9" s="291" t="s">
        <v>2</v>
      </c>
      <c r="O9" s="254" t="s">
        <v>133</v>
      </c>
      <c r="P9" s="299"/>
      <c r="Q9" s="298">
        <f t="shared" ref="Q9:Q15" si="3">+M9+P9</f>
        <v>4098363.4435312958</v>
      </c>
      <c r="R9" s="298">
        <v>3544270.2037181286</v>
      </c>
      <c r="S9" s="300">
        <f t="shared" ref="S9:S38" si="4">AVERAGE(Q9:R9)</f>
        <v>3821316.8236247124</v>
      </c>
    </row>
    <row r="10" spans="1:19" x14ac:dyDescent="0.2">
      <c r="A10" s="291" t="s">
        <v>4</v>
      </c>
      <c r="B10" s="254" t="s">
        <v>129</v>
      </c>
      <c r="C10" s="292">
        <f>'FY2015 Detail'!D7</f>
        <v>6709</v>
      </c>
      <c r="D10" s="293">
        <v>1245067</v>
      </c>
      <c r="E10" s="293">
        <v>1730</v>
      </c>
      <c r="F10" s="293">
        <f t="shared" ref="F10:F38" si="5">+C10*E10</f>
        <v>11606570</v>
      </c>
      <c r="G10" s="294">
        <f>12159+2825</f>
        <v>14984</v>
      </c>
      <c r="H10" s="295">
        <v>1181514</v>
      </c>
      <c r="I10" s="295">
        <v>512</v>
      </c>
      <c r="J10" s="295">
        <f t="shared" si="0"/>
        <v>7671808</v>
      </c>
      <c r="K10" s="296">
        <f>+H10+J10+D10+F10</f>
        <v>21704959</v>
      </c>
      <c r="L10" s="297">
        <f>'Revenue Offset'!G9</f>
        <v>0.54279634039250968</v>
      </c>
      <c r="M10" s="298">
        <f>K10*(1-L10)</f>
        <v>9923586.6864305343</v>
      </c>
      <c r="N10" s="291" t="s">
        <v>4</v>
      </c>
      <c r="O10" s="254" t="s">
        <v>129</v>
      </c>
      <c r="P10" s="299">
        <f>200000*2</f>
        <v>400000</v>
      </c>
      <c r="Q10" s="298">
        <f t="shared" si="3"/>
        <v>10323586.686430534</v>
      </c>
      <c r="R10" s="298">
        <v>9179068.5179298446</v>
      </c>
      <c r="S10" s="300">
        <f t="shared" si="4"/>
        <v>9751327.6021801904</v>
      </c>
    </row>
    <row r="11" spans="1:19" ht="25.5" x14ac:dyDescent="0.2">
      <c r="A11" s="291" t="s">
        <v>5</v>
      </c>
      <c r="B11" s="254" t="s">
        <v>118</v>
      </c>
      <c r="C11" s="292">
        <f>'FY2015 Detail'!D8</f>
        <v>4913</v>
      </c>
      <c r="D11" s="293">
        <v>4074310</v>
      </c>
      <c r="E11" s="293">
        <v>1939</v>
      </c>
      <c r="F11" s="293">
        <f t="shared" si="5"/>
        <v>9526307</v>
      </c>
      <c r="G11" s="294">
        <f>6707+2053</f>
        <v>8760</v>
      </c>
      <c r="H11" s="295">
        <v>2073573</v>
      </c>
      <c r="I11" s="295">
        <v>1162</v>
      </c>
      <c r="J11" s="295">
        <f t="shared" si="0"/>
        <v>10179120</v>
      </c>
      <c r="K11" s="296">
        <f t="shared" si="1"/>
        <v>25853310</v>
      </c>
      <c r="L11" s="297">
        <f>'Revenue Offset'!G10</f>
        <v>0.6243351814828747</v>
      </c>
      <c r="M11" s="298">
        <f t="shared" si="2"/>
        <v>9712179.009216981</v>
      </c>
      <c r="N11" s="291" t="s">
        <v>5</v>
      </c>
      <c r="O11" s="254" t="s">
        <v>118</v>
      </c>
      <c r="P11" s="299">
        <v>200000</v>
      </c>
      <c r="Q11" s="298">
        <f t="shared" si="3"/>
        <v>9912179.009216981</v>
      </c>
      <c r="R11" s="298">
        <v>8692886.7583907414</v>
      </c>
      <c r="S11" s="300">
        <f t="shared" si="4"/>
        <v>9302532.8838038612</v>
      </c>
    </row>
    <row r="12" spans="1:19" x14ac:dyDescent="0.2">
      <c r="A12" s="291" t="s">
        <v>6</v>
      </c>
      <c r="B12" s="254" t="s">
        <v>7</v>
      </c>
      <c r="C12" s="292">
        <f>'FY2015 Detail'!D9</f>
        <v>2612</v>
      </c>
      <c r="D12" s="293">
        <v>1245067</v>
      </c>
      <c r="E12" s="293">
        <v>1730</v>
      </c>
      <c r="F12" s="293">
        <f t="shared" si="5"/>
        <v>4518760</v>
      </c>
      <c r="G12" s="294">
        <v>5188</v>
      </c>
      <c r="H12" s="295">
        <v>1181514</v>
      </c>
      <c r="I12" s="295">
        <v>512</v>
      </c>
      <c r="J12" s="295">
        <f t="shared" si="0"/>
        <v>2656256</v>
      </c>
      <c r="K12" s="296">
        <f t="shared" si="1"/>
        <v>9601597</v>
      </c>
      <c r="L12" s="297">
        <f>'Revenue Offset'!G11</f>
        <v>0.45306481524775344</v>
      </c>
      <c r="M12" s="298">
        <f t="shared" si="2"/>
        <v>5251451.2291116165</v>
      </c>
      <c r="N12" s="291" t="s">
        <v>6</v>
      </c>
      <c r="O12" s="254" t="s">
        <v>7</v>
      </c>
      <c r="P12" s="299">
        <v>200000</v>
      </c>
      <c r="Q12" s="298">
        <f t="shared" si="3"/>
        <v>5451451.2291116165</v>
      </c>
      <c r="R12" s="298">
        <v>4883988.4121364132</v>
      </c>
      <c r="S12" s="300">
        <f t="shared" si="4"/>
        <v>5167719.8206240144</v>
      </c>
    </row>
    <row r="13" spans="1:19" x14ac:dyDescent="0.2">
      <c r="A13" s="291" t="s">
        <v>8</v>
      </c>
      <c r="B13" s="254" t="s">
        <v>9</v>
      </c>
      <c r="C13" s="292">
        <f>'FY2015 Detail'!D10</f>
        <v>5978</v>
      </c>
      <c r="D13" s="293">
        <v>1245067</v>
      </c>
      <c r="E13" s="293">
        <v>1730</v>
      </c>
      <c r="F13" s="293">
        <f t="shared" si="5"/>
        <v>10341940</v>
      </c>
      <c r="G13" s="294">
        <v>13455</v>
      </c>
      <c r="H13" s="295">
        <v>1181514</v>
      </c>
      <c r="I13" s="295">
        <v>512</v>
      </c>
      <c r="J13" s="295">
        <f t="shared" si="0"/>
        <v>6888960</v>
      </c>
      <c r="K13" s="296">
        <f t="shared" si="1"/>
        <v>19657481</v>
      </c>
      <c r="L13" s="297">
        <f>'Revenue Offset'!G12</f>
        <v>0.54269310141843952</v>
      </c>
      <c r="M13" s="298">
        <f t="shared" si="2"/>
        <v>8989501.6700359527</v>
      </c>
      <c r="N13" s="291" t="s">
        <v>8</v>
      </c>
      <c r="O13" s="254" t="s">
        <v>9</v>
      </c>
      <c r="P13" s="299"/>
      <c r="Q13" s="298">
        <f t="shared" si="3"/>
        <v>8989501.6700359527</v>
      </c>
      <c r="R13" s="298">
        <v>7740269.9119120054</v>
      </c>
      <c r="S13" s="300">
        <f t="shared" si="4"/>
        <v>8364885.790973979</v>
      </c>
    </row>
    <row r="14" spans="1:19" x14ac:dyDescent="0.2">
      <c r="A14" s="291" t="s">
        <v>10</v>
      </c>
      <c r="B14" s="3" t="s">
        <v>156</v>
      </c>
      <c r="C14" s="292">
        <f>'FY2015 Detail'!D11</f>
        <v>5147</v>
      </c>
      <c r="D14" s="293">
        <v>1245067</v>
      </c>
      <c r="E14" s="293">
        <v>1730</v>
      </c>
      <c r="F14" s="293">
        <f t="shared" si="5"/>
        <v>8904310</v>
      </c>
      <c r="G14" s="294">
        <f>4003+7829</f>
        <v>11832</v>
      </c>
      <c r="H14" s="295">
        <v>1181514</v>
      </c>
      <c r="I14" s="295">
        <v>512</v>
      </c>
      <c r="J14" s="295">
        <f t="shared" si="0"/>
        <v>6057984</v>
      </c>
      <c r="K14" s="296">
        <f t="shared" si="1"/>
        <v>17388875</v>
      </c>
      <c r="L14" s="297">
        <f>'Revenue Offset'!G13</f>
        <v>0.51561172547460099</v>
      </c>
      <c r="M14" s="298">
        <f t="shared" si="2"/>
        <v>8422967.1571878474</v>
      </c>
      <c r="N14" s="291" t="s">
        <v>10</v>
      </c>
      <c r="O14" s="3" t="s">
        <v>156</v>
      </c>
      <c r="P14" s="299">
        <v>200000</v>
      </c>
      <c r="Q14" s="298">
        <f t="shared" si="3"/>
        <v>8622967.1571878474</v>
      </c>
      <c r="R14" s="298">
        <v>7841725.4449942131</v>
      </c>
      <c r="S14" s="300">
        <f t="shared" si="4"/>
        <v>8232346.3010910302</v>
      </c>
    </row>
    <row r="15" spans="1:19" x14ac:dyDescent="0.2">
      <c r="A15" s="291" t="s">
        <v>12</v>
      </c>
      <c r="B15" s="254" t="s">
        <v>13</v>
      </c>
      <c r="C15" s="292">
        <f>'FY2015 Detail'!D12</f>
        <v>1121</v>
      </c>
      <c r="D15" s="293">
        <v>1245067</v>
      </c>
      <c r="E15" s="293">
        <v>1730</v>
      </c>
      <c r="F15" s="293">
        <f t="shared" si="5"/>
        <v>1939330</v>
      </c>
      <c r="G15" s="294">
        <v>2312</v>
      </c>
      <c r="H15" s="295">
        <v>1181514</v>
      </c>
      <c r="I15" s="295">
        <v>512</v>
      </c>
      <c r="J15" s="295">
        <f t="shared" si="0"/>
        <v>1183744</v>
      </c>
      <c r="K15" s="296">
        <f t="shared" si="1"/>
        <v>5549655</v>
      </c>
      <c r="L15" s="297">
        <f>'Revenue Offset'!G14</f>
        <v>0.42408712951772581</v>
      </c>
      <c r="M15" s="298">
        <f t="shared" si="2"/>
        <v>3196117.7412363058</v>
      </c>
      <c r="N15" s="291" t="s">
        <v>12</v>
      </c>
      <c r="O15" s="254" t="s">
        <v>13</v>
      </c>
      <c r="P15" s="299"/>
      <c r="Q15" s="298">
        <f t="shared" si="3"/>
        <v>3196117.7412363058</v>
      </c>
      <c r="R15" s="298">
        <v>2779771.3415313605</v>
      </c>
      <c r="S15" s="300">
        <f t="shared" si="4"/>
        <v>2987944.5413838332</v>
      </c>
    </row>
    <row r="16" spans="1:19" x14ac:dyDescent="0.2">
      <c r="A16" s="291" t="s">
        <v>14</v>
      </c>
      <c r="B16" s="254" t="s">
        <v>145</v>
      </c>
      <c r="C16" s="292">
        <f>'FY2015 Detail'!D13</f>
        <v>3505</v>
      </c>
      <c r="D16" s="293">
        <v>1245067</v>
      </c>
      <c r="E16" s="293">
        <v>1730</v>
      </c>
      <c r="F16" s="293">
        <f t="shared" si="5"/>
        <v>6063650</v>
      </c>
      <c r="G16" s="294">
        <v>8423</v>
      </c>
      <c r="H16" s="295">
        <v>1181514</v>
      </c>
      <c r="I16" s="295">
        <v>512</v>
      </c>
      <c r="J16" s="295">
        <f t="shared" si="0"/>
        <v>4312576</v>
      </c>
      <c r="K16" s="296">
        <f t="shared" si="1"/>
        <v>12802807</v>
      </c>
      <c r="L16" s="297">
        <f>'Revenue Offset'!G15</f>
        <v>0.45324969293165529</v>
      </c>
      <c r="M16" s="298">
        <f t="shared" si="2"/>
        <v>6999938.6585867535</v>
      </c>
      <c r="N16" s="291" t="s">
        <v>14</v>
      </c>
      <c r="O16" s="254" t="s">
        <v>145</v>
      </c>
      <c r="P16" s="299">
        <v>200000</v>
      </c>
      <c r="Q16" s="298">
        <f t="shared" ref="Q16:Q38" si="6">+M16+P16</f>
        <v>7199938.6585867535</v>
      </c>
      <c r="R16" s="298">
        <v>6289529.9883431885</v>
      </c>
      <c r="S16" s="300">
        <f t="shared" si="4"/>
        <v>6744734.323464971</v>
      </c>
    </row>
    <row r="17" spans="1:19" x14ac:dyDescent="0.2">
      <c r="A17" s="291" t="s">
        <v>16</v>
      </c>
      <c r="B17" s="254" t="s">
        <v>17</v>
      </c>
      <c r="C17" s="292">
        <f>'FY2015 Detail'!D14</f>
        <v>3160</v>
      </c>
      <c r="D17" s="293">
        <v>1245067</v>
      </c>
      <c r="E17" s="293">
        <v>1730</v>
      </c>
      <c r="F17" s="293">
        <f t="shared" si="5"/>
        <v>5466800</v>
      </c>
      <c r="G17" s="294">
        <v>7953</v>
      </c>
      <c r="H17" s="295">
        <v>1181514</v>
      </c>
      <c r="I17" s="295">
        <v>512</v>
      </c>
      <c r="J17" s="295">
        <f t="shared" si="0"/>
        <v>4071936</v>
      </c>
      <c r="K17" s="296">
        <f t="shared" si="1"/>
        <v>11965317</v>
      </c>
      <c r="L17" s="297">
        <f>'Revenue Offset'!G16</f>
        <v>0.49705898124292108</v>
      </c>
      <c r="M17" s="298">
        <f t="shared" si="2"/>
        <v>6017848.7217313945</v>
      </c>
      <c r="N17" s="291" t="s">
        <v>16</v>
      </c>
      <c r="O17" s="254" t="s">
        <v>17</v>
      </c>
      <c r="P17" s="299"/>
      <c r="Q17" s="298">
        <f t="shared" si="6"/>
        <v>6017848.7217313945</v>
      </c>
      <c r="R17" s="298">
        <v>5153199.3435733384</v>
      </c>
      <c r="S17" s="300">
        <f t="shared" si="4"/>
        <v>5585524.0326523669</v>
      </c>
    </row>
    <row r="18" spans="1:19" x14ac:dyDescent="0.2">
      <c r="A18" s="291" t="s">
        <v>18</v>
      </c>
      <c r="B18" s="254" t="s">
        <v>146</v>
      </c>
      <c r="C18" s="292">
        <f>'FY2015 Detail'!D15</f>
        <v>6168</v>
      </c>
      <c r="D18" s="293">
        <v>4074310</v>
      </c>
      <c r="E18" s="293">
        <v>1939</v>
      </c>
      <c r="F18" s="293">
        <f t="shared" si="5"/>
        <v>11959752</v>
      </c>
      <c r="G18" s="294">
        <v>12547</v>
      </c>
      <c r="H18" s="295">
        <v>2073573</v>
      </c>
      <c r="I18" s="295">
        <v>1162</v>
      </c>
      <c r="J18" s="295">
        <f t="shared" si="0"/>
        <v>14579614</v>
      </c>
      <c r="K18" s="296">
        <f t="shared" si="1"/>
        <v>32687249</v>
      </c>
      <c r="L18" s="297">
        <f>'Revenue Offset'!G17</f>
        <v>0.62684270913299178</v>
      </c>
      <c r="M18" s="298">
        <f t="shared" si="2"/>
        <v>12197485.282735324</v>
      </c>
      <c r="N18" s="291" t="s">
        <v>18</v>
      </c>
      <c r="O18" s="254" t="s">
        <v>146</v>
      </c>
      <c r="P18" s="299"/>
      <c r="Q18" s="298">
        <f t="shared" si="6"/>
        <v>12197485.282735324</v>
      </c>
      <c r="R18" s="298">
        <v>10668108.211249921</v>
      </c>
      <c r="S18" s="300">
        <f t="shared" si="4"/>
        <v>11432796.746992622</v>
      </c>
    </row>
    <row r="19" spans="1:19" x14ac:dyDescent="0.2">
      <c r="A19" s="291" t="s">
        <v>19</v>
      </c>
      <c r="B19" s="254" t="s">
        <v>134</v>
      </c>
      <c r="C19" s="292">
        <f>'FY2015 Detail'!D16</f>
        <v>5074</v>
      </c>
      <c r="D19" s="293">
        <v>1245067</v>
      </c>
      <c r="E19" s="293">
        <v>1730</v>
      </c>
      <c r="F19" s="293">
        <f t="shared" si="5"/>
        <v>8778020</v>
      </c>
      <c r="G19" s="294">
        <v>12596</v>
      </c>
      <c r="H19" s="295">
        <v>1181514</v>
      </c>
      <c r="I19" s="295">
        <v>512</v>
      </c>
      <c r="J19" s="295">
        <f t="shared" si="0"/>
        <v>6449152</v>
      </c>
      <c r="K19" s="296">
        <f t="shared" si="1"/>
        <v>17653753</v>
      </c>
      <c r="L19" s="297">
        <f>'Revenue Offset'!G18</f>
        <v>0.51006553977406088</v>
      </c>
      <c r="M19" s="298">
        <f t="shared" si="2"/>
        <v>8649181.9470170531</v>
      </c>
      <c r="N19" s="291" t="s">
        <v>19</v>
      </c>
      <c r="O19" s="254" t="s">
        <v>134</v>
      </c>
      <c r="P19" s="299"/>
      <c r="Q19" s="298">
        <f t="shared" si="6"/>
        <v>8649181.9470170531</v>
      </c>
      <c r="R19" s="298">
        <v>7730216.4625851559</v>
      </c>
      <c r="S19" s="300">
        <f t="shared" si="4"/>
        <v>8189699.204801105</v>
      </c>
    </row>
    <row r="20" spans="1:19" x14ac:dyDescent="0.2">
      <c r="A20" s="291" t="s">
        <v>21</v>
      </c>
      <c r="B20" s="262" t="s">
        <v>188</v>
      </c>
      <c r="C20" s="292">
        <f>'FY2015 Detail'!D17</f>
        <v>1286</v>
      </c>
      <c r="D20" s="293">
        <v>1245067</v>
      </c>
      <c r="E20" s="293">
        <v>1730</v>
      </c>
      <c r="F20" s="293">
        <f t="shared" si="5"/>
        <v>2224780</v>
      </c>
      <c r="G20" s="294">
        <v>3001</v>
      </c>
      <c r="H20" s="295">
        <v>1181514</v>
      </c>
      <c r="I20" s="295">
        <v>512</v>
      </c>
      <c r="J20" s="295">
        <f t="shared" si="0"/>
        <v>1536512</v>
      </c>
      <c r="K20" s="296">
        <f t="shared" si="1"/>
        <v>6187873</v>
      </c>
      <c r="L20" s="297">
        <f>'Revenue Offset'!G19</f>
        <v>0.44431114194542998</v>
      </c>
      <c r="M20" s="298">
        <f t="shared" si="2"/>
        <v>3438532.0811567064</v>
      </c>
      <c r="N20" s="291" t="s">
        <v>21</v>
      </c>
      <c r="O20" s="262" t="s">
        <v>71</v>
      </c>
      <c r="P20" s="299">
        <v>200000</v>
      </c>
      <c r="Q20" s="298">
        <f t="shared" si="6"/>
        <v>3638532.0811567064</v>
      </c>
      <c r="R20" s="298">
        <v>3169080.4716519262</v>
      </c>
      <c r="S20" s="300">
        <f t="shared" si="4"/>
        <v>3403806.2764043165</v>
      </c>
    </row>
    <row r="21" spans="1:19" x14ac:dyDescent="0.2">
      <c r="A21" s="263" t="s">
        <v>114</v>
      </c>
      <c r="B21" s="254" t="s">
        <v>147</v>
      </c>
      <c r="C21" s="292">
        <f>'FY2015 Detail'!D18</f>
        <v>4202</v>
      </c>
      <c r="D21" s="293">
        <v>1245067</v>
      </c>
      <c r="E21" s="293">
        <v>1730</v>
      </c>
      <c r="F21" s="293">
        <f>+C21*E21</f>
        <v>7269460</v>
      </c>
      <c r="G21" s="294">
        <v>8313</v>
      </c>
      <c r="H21" s="295">
        <v>1181514</v>
      </c>
      <c r="I21" s="295">
        <v>512</v>
      </c>
      <c r="J21" s="295">
        <f t="shared" si="0"/>
        <v>4256256</v>
      </c>
      <c r="K21" s="296">
        <f t="shared" si="1"/>
        <v>13952297</v>
      </c>
      <c r="L21" s="297">
        <f>'Revenue Offset'!G20</f>
        <v>0.5039903086783919</v>
      </c>
      <c r="M21" s="298">
        <f t="shared" si="2"/>
        <v>6920474.5281973984</v>
      </c>
      <c r="N21" s="263" t="s">
        <v>114</v>
      </c>
      <c r="O21" s="254" t="s">
        <v>147</v>
      </c>
      <c r="P21" s="299">
        <f>(200000)+(264*500)+(327*500)</f>
        <v>495500</v>
      </c>
      <c r="Q21" s="298">
        <f>+M21+P21</f>
        <v>7415974.5281973984</v>
      </c>
      <c r="R21" s="298">
        <v>6642079.6017053556</v>
      </c>
      <c r="S21" s="300">
        <f t="shared" si="4"/>
        <v>7029027.064951377</v>
      </c>
    </row>
    <row r="22" spans="1:19" x14ac:dyDescent="0.2">
      <c r="A22" s="291" t="s">
        <v>26</v>
      </c>
      <c r="B22" s="254" t="s">
        <v>62</v>
      </c>
      <c r="C22" s="292">
        <f>'FY2015 Detail'!D19</f>
        <v>5378</v>
      </c>
      <c r="D22" s="293">
        <v>4074310</v>
      </c>
      <c r="E22" s="293">
        <v>1939</v>
      </c>
      <c r="F22" s="293">
        <f>+C22*E22</f>
        <v>10427942</v>
      </c>
      <c r="G22" s="294">
        <v>7606</v>
      </c>
      <c r="H22" s="295">
        <v>2073573</v>
      </c>
      <c r="I22" s="295">
        <v>1162</v>
      </c>
      <c r="J22" s="295">
        <f t="shared" si="0"/>
        <v>8838172</v>
      </c>
      <c r="K22" s="296">
        <f t="shared" si="1"/>
        <v>25413997</v>
      </c>
      <c r="L22" s="297">
        <f>'Revenue Offset'!G21</f>
        <v>0.58704406864030156</v>
      </c>
      <c r="M22" s="298">
        <f t="shared" si="2"/>
        <v>10494860.800707582</v>
      </c>
      <c r="N22" s="291" t="s">
        <v>26</v>
      </c>
      <c r="O22" s="254" t="s">
        <v>62</v>
      </c>
      <c r="P22" s="299"/>
      <c r="Q22" s="298">
        <f t="shared" si="6"/>
        <v>10494860.800707582</v>
      </c>
      <c r="R22" s="298">
        <v>9218670.3636242468</v>
      </c>
      <c r="S22" s="300">
        <f t="shared" si="4"/>
        <v>9856765.5821659155</v>
      </c>
    </row>
    <row r="23" spans="1:19" x14ac:dyDescent="0.2">
      <c r="A23" s="291" t="s">
        <v>22</v>
      </c>
      <c r="B23" s="254" t="s">
        <v>23</v>
      </c>
      <c r="C23" s="292">
        <f>'FY2015 Detail'!D20</f>
        <v>13657</v>
      </c>
      <c r="D23" s="293">
        <v>4074310</v>
      </c>
      <c r="E23" s="293">
        <v>1939</v>
      </c>
      <c r="F23" s="293">
        <f>+C23*E23</f>
        <v>26480923</v>
      </c>
      <c r="G23" s="294">
        <v>18640</v>
      </c>
      <c r="H23" s="295">
        <v>2073573</v>
      </c>
      <c r="I23" s="295">
        <v>1162</v>
      </c>
      <c r="J23" s="295">
        <f t="shared" si="0"/>
        <v>21659680</v>
      </c>
      <c r="K23" s="296">
        <f t="shared" si="1"/>
        <v>54288486</v>
      </c>
      <c r="L23" s="297">
        <f>'Revenue Offset'!G22</f>
        <v>0.65546373065460628</v>
      </c>
      <c r="M23" s="298">
        <f t="shared" si="2"/>
        <v>18704352.434849635</v>
      </c>
      <c r="N23" s="291" t="s">
        <v>22</v>
      </c>
      <c r="O23" s="254" t="s">
        <v>23</v>
      </c>
      <c r="P23" s="299"/>
      <c r="Q23" s="298">
        <f t="shared" si="6"/>
        <v>18704352.434849635</v>
      </c>
      <c r="R23" s="298">
        <v>16856010.343474556</v>
      </c>
      <c r="S23" s="300">
        <f t="shared" si="4"/>
        <v>17780181.389162093</v>
      </c>
    </row>
    <row r="24" spans="1:19" x14ac:dyDescent="0.2">
      <c r="A24" s="291" t="s">
        <v>24</v>
      </c>
      <c r="B24" s="254" t="s">
        <v>143</v>
      </c>
      <c r="C24" s="292">
        <f>'FY2015 Detail'!D21</f>
        <v>1895</v>
      </c>
      <c r="D24" s="293">
        <v>1245067</v>
      </c>
      <c r="E24" s="293">
        <v>1730</v>
      </c>
      <c r="F24" s="293">
        <f t="shared" si="5"/>
        <v>3278350</v>
      </c>
      <c r="G24" s="294">
        <v>4880</v>
      </c>
      <c r="H24" s="295">
        <v>1181514</v>
      </c>
      <c r="I24" s="295">
        <v>512</v>
      </c>
      <c r="J24" s="295">
        <f t="shared" si="0"/>
        <v>2498560</v>
      </c>
      <c r="K24" s="296">
        <f t="shared" si="1"/>
        <v>8203491</v>
      </c>
      <c r="L24" s="297">
        <f>'Revenue Offset'!G23</f>
        <v>0.46995016730102229</v>
      </c>
      <c r="M24" s="298">
        <f t="shared" si="2"/>
        <v>4348259.0320975697</v>
      </c>
      <c r="N24" s="291" t="s">
        <v>24</v>
      </c>
      <c r="O24" s="254" t="s">
        <v>143</v>
      </c>
      <c r="P24" s="299">
        <f>(200000)+((68+91+154)*500)</f>
        <v>356500</v>
      </c>
      <c r="Q24" s="298">
        <f t="shared" si="6"/>
        <v>4704759.0320975697</v>
      </c>
      <c r="R24" s="298">
        <v>4354122.352316631</v>
      </c>
      <c r="S24" s="300">
        <f t="shared" si="4"/>
        <v>4529440.6922070999</v>
      </c>
    </row>
    <row r="25" spans="1:19" x14ac:dyDescent="0.2">
      <c r="A25" s="291" t="s">
        <v>27</v>
      </c>
      <c r="B25" s="254" t="s">
        <v>137</v>
      </c>
      <c r="C25" s="292">
        <f>'FY2015 Detail'!D22</f>
        <v>6915</v>
      </c>
      <c r="D25" s="293">
        <v>1245067</v>
      </c>
      <c r="E25" s="293">
        <v>1730</v>
      </c>
      <c r="F25" s="293">
        <f t="shared" si="5"/>
        <v>11962950</v>
      </c>
      <c r="G25" s="294">
        <v>15908</v>
      </c>
      <c r="H25" s="295">
        <v>1181514</v>
      </c>
      <c r="I25" s="295">
        <v>512</v>
      </c>
      <c r="J25" s="295">
        <f t="shared" si="0"/>
        <v>8144896</v>
      </c>
      <c r="K25" s="296">
        <f t="shared" si="1"/>
        <v>22534427</v>
      </c>
      <c r="L25" s="297">
        <f>'Revenue Offset'!G24</f>
        <v>0.60377951932445695</v>
      </c>
      <c r="M25" s="298">
        <f t="shared" si="2"/>
        <v>8928601.4976879358</v>
      </c>
      <c r="N25" s="291" t="s">
        <v>27</v>
      </c>
      <c r="O25" s="254" t="s">
        <v>137</v>
      </c>
      <c r="P25" s="299"/>
      <c r="Q25" s="298">
        <f t="shared" si="6"/>
        <v>8928601.4976879358</v>
      </c>
      <c r="R25" s="298">
        <v>7539097.4477354232</v>
      </c>
      <c r="S25" s="300">
        <f t="shared" si="4"/>
        <v>8233849.4727116795</v>
      </c>
    </row>
    <row r="26" spans="1:19" ht="25.5" x14ac:dyDescent="0.2">
      <c r="A26" s="291" t="s">
        <v>29</v>
      </c>
      <c r="B26" s="254" t="s">
        <v>138</v>
      </c>
      <c r="C26" s="292">
        <f>'FY2015 Detail'!D23</f>
        <v>4198</v>
      </c>
      <c r="D26" s="293">
        <v>1245067</v>
      </c>
      <c r="E26" s="293">
        <v>1730</v>
      </c>
      <c r="F26" s="293">
        <f t="shared" si="5"/>
        <v>7262540</v>
      </c>
      <c r="G26" s="294">
        <v>11032</v>
      </c>
      <c r="H26" s="295">
        <v>1181514</v>
      </c>
      <c r="I26" s="295">
        <v>512</v>
      </c>
      <c r="J26" s="295">
        <f t="shared" si="0"/>
        <v>5648384</v>
      </c>
      <c r="K26" s="296">
        <f t="shared" si="1"/>
        <v>15337505</v>
      </c>
      <c r="L26" s="297">
        <f>'Revenue Offset'!G25</f>
        <v>0.55876878580612266</v>
      </c>
      <c r="M26" s="298">
        <f t="shared" si="2"/>
        <v>6767385.9538546642</v>
      </c>
      <c r="N26" s="291" t="s">
        <v>29</v>
      </c>
      <c r="O26" s="254" t="s">
        <v>138</v>
      </c>
      <c r="P26" s="299"/>
      <c r="Q26" s="298">
        <f t="shared" si="6"/>
        <v>6767385.9538546642</v>
      </c>
      <c r="R26" s="298">
        <v>5769307.9346987475</v>
      </c>
      <c r="S26" s="300">
        <f t="shared" si="4"/>
        <v>6268346.9442767054</v>
      </c>
    </row>
    <row r="27" spans="1:19" ht="25.5" x14ac:dyDescent="0.2">
      <c r="A27" s="263" t="s">
        <v>123</v>
      </c>
      <c r="B27" s="254" t="s">
        <v>63</v>
      </c>
      <c r="C27" s="292">
        <f>'FY2015 Detail'!D24</f>
        <v>3586</v>
      </c>
      <c r="D27" s="293">
        <v>1245067</v>
      </c>
      <c r="E27" s="293">
        <v>1730</v>
      </c>
      <c r="F27" s="293">
        <f t="shared" si="5"/>
        <v>6203780</v>
      </c>
      <c r="G27" s="294">
        <v>6618</v>
      </c>
      <c r="H27" s="295">
        <v>1181514</v>
      </c>
      <c r="I27" s="295">
        <v>512</v>
      </c>
      <c r="J27" s="295">
        <f t="shared" si="0"/>
        <v>3388416</v>
      </c>
      <c r="K27" s="296">
        <f t="shared" si="1"/>
        <v>12018777</v>
      </c>
      <c r="L27" s="297">
        <f>'Revenue Offset'!G26</f>
        <v>0.46559118219121093</v>
      </c>
      <c r="M27" s="298">
        <f t="shared" si="2"/>
        <v>6422940.4080774654</v>
      </c>
      <c r="N27" s="263" t="s">
        <v>123</v>
      </c>
      <c r="O27" s="254" t="s">
        <v>63</v>
      </c>
      <c r="P27" s="167">
        <f>(200000*4)+(244*500)</f>
        <v>922000</v>
      </c>
      <c r="Q27" s="298">
        <f>+M27+P27</f>
        <v>7344940.4080774654</v>
      </c>
      <c r="R27" s="298">
        <v>6468117.4219432548</v>
      </c>
      <c r="S27" s="300">
        <f>AVERAGE(Q27:R27)</f>
        <v>6906528.9150103601</v>
      </c>
    </row>
    <row r="28" spans="1:19" x14ac:dyDescent="0.2">
      <c r="A28" s="291" t="s">
        <v>31</v>
      </c>
      <c r="B28" s="254" t="s">
        <v>139</v>
      </c>
      <c r="C28" s="292">
        <f>'FY2015 Detail'!D25</f>
        <v>2227</v>
      </c>
      <c r="D28" s="293">
        <v>1245067</v>
      </c>
      <c r="E28" s="293">
        <v>1730</v>
      </c>
      <c r="F28" s="293">
        <f t="shared" si="5"/>
        <v>3852710</v>
      </c>
      <c r="G28" s="294">
        <v>5105</v>
      </c>
      <c r="H28" s="295">
        <v>1181514</v>
      </c>
      <c r="I28" s="295">
        <v>512</v>
      </c>
      <c r="J28" s="295">
        <f t="shared" si="0"/>
        <v>2613760</v>
      </c>
      <c r="K28" s="296">
        <f t="shared" si="1"/>
        <v>8893051</v>
      </c>
      <c r="L28" s="297">
        <f>'Revenue Offset'!G27</f>
        <v>0.47714027146384802</v>
      </c>
      <c r="M28" s="298">
        <f t="shared" si="2"/>
        <v>4649818.2317181556</v>
      </c>
      <c r="N28" s="291" t="s">
        <v>31</v>
      </c>
      <c r="O28" s="254" t="s">
        <v>139</v>
      </c>
      <c r="P28" s="299">
        <v>200000</v>
      </c>
      <c r="Q28" s="298">
        <f t="shared" si="6"/>
        <v>4849818.2317181556</v>
      </c>
      <c r="R28" s="298">
        <v>4293737.483429241</v>
      </c>
      <c r="S28" s="300">
        <f t="shared" si="4"/>
        <v>4571777.8575736983</v>
      </c>
    </row>
    <row r="29" spans="1:19" x14ac:dyDescent="0.2">
      <c r="A29" s="291" t="s">
        <v>33</v>
      </c>
      <c r="B29" s="254" t="s">
        <v>135</v>
      </c>
      <c r="C29" s="292">
        <f>'FY2015 Detail'!D26</f>
        <v>742</v>
      </c>
      <c r="D29" s="293">
        <v>1245067</v>
      </c>
      <c r="E29" s="293">
        <v>1730</v>
      </c>
      <c r="F29" s="293">
        <f t="shared" si="5"/>
        <v>1283660</v>
      </c>
      <c r="G29" s="294">
        <v>2398</v>
      </c>
      <c r="H29" s="295">
        <v>1181514</v>
      </c>
      <c r="I29" s="295">
        <v>512</v>
      </c>
      <c r="J29" s="295">
        <f t="shared" si="0"/>
        <v>1227776</v>
      </c>
      <c r="K29" s="296">
        <f t="shared" si="1"/>
        <v>4938017</v>
      </c>
      <c r="L29" s="297">
        <f>'Revenue Offset'!G28</f>
        <v>0.41314995529542081</v>
      </c>
      <c r="M29" s="298">
        <f t="shared" si="2"/>
        <v>2897875.4972019722</v>
      </c>
      <c r="N29" s="291" t="s">
        <v>33</v>
      </c>
      <c r="O29" s="254" t="s">
        <v>135</v>
      </c>
      <c r="P29" s="299"/>
      <c r="Q29" s="298">
        <f t="shared" si="6"/>
        <v>2897875.4972019722</v>
      </c>
      <c r="R29" s="298">
        <v>2528949.5920289876</v>
      </c>
      <c r="S29" s="300">
        <f t="shared" si="4"/>
        <v>2713412.5446154801</v>
      </c>
    </row>
    <row r="30" spans="1:19" x14ac:dyDescent="0.2">
      <c r="A30" s="291" t="s">
        <v>35</v>
      </c>
      <c r="B30" s="254" t="s">
        <v>36</v>
      </c>
      <c r="C30" s="292">
        <f>'FY2015 Detail'!D27</f>
        <v>2754</v>
      </c>
      <c r="D30" s="293">
        <v>1245067</v>
      </c>
      <c r="E30" s="293">
        <v>1730</v>
      </c>
      <c r="F30" s="293">
        <f t="shared" si="5"/>
        <v>4764420</v>
      </c>
      <c r="G30" s="294">
        <v>5302</v>
      </c>
      <c r="H30" s="295">
        <v>1181514</v>
      </c>
      <c r="I30" s="295">
        <v>512</v>
      </c>
      <c r="J30" s="295">
        <f t="shared" si="0"/>
        <v>2714624</v>
      </c>
      <c r="K30" s="296">
        <f t="shared" si="1"/>
        <v>9905625</v>
      </c>
      <c r="L30" s="297">
        <f>'Revenue Offset'!G29</f>
        <v>0.48426000157658866</v>
      </c>
      <c r="M30" s="298">
        <f t="shared" si="2"/>
        <v>5108727.0218829038</v>
      </c>
      <c r="N30" s="291" t="s">
        <v>35</v>
      </c>
      <c r="O30" s="254" t="s">
        <v>36</v>
      </c>
      <c r="P30" s="299">
        <v>200000</v>
      </c>
      <c r="Q30" s="298">
        <f t="shared" si="6"/>
        <v>5308727.0218829038</v>
      </c>
      <c r="R30" s="298">
        <v>4660193.5084551377</v>
      </c>
      <c r="S30" s="300">
        <f t="shared" si="4"/>
        <v>4984460.2651690207</v>
      </c>
    </row>
    <row r="31" spans="1:19" x14ac:dyDescent="0.2">
      <c r="A31" s="291" t="s">
        <v>37</v>
      </c>
      <c r="B31" s="254" t="s">
        <v>136</v>
      </c>
      <c r="C31" s="292">
        <f>'FY2015 Detail'!D28</f>
        <v>2019</v>
      </c>
      <c r="D31" s="293">
        <v>1245067</v>
      </c>
      <c r="E31" s="293">
        <v>1730</v>
      </c>
      <c r="F31" s="293">
        <f t="shared" si="5"/>
        <v>3492870</v>
      </c>
      <c r="G31" s="294">
        <v>4497</v>
      </c>
      <c r="H31" s="295">
        <v>1181514</v>
      </c>
      <c r="I31" s="295">
        <v>512</v>
      </c>
      <c r="J31" s="295">
        <f t="shared" si="0"/>
        <v>2302464</v>
      </c>
      <c r="K31" s="296">
        <f t="shared" si="1"/>
        <v>8221915</v>
      </c>
      <c r="L31" s="297">
        <f>'Revenue Offset'!G30</f>
        <v>0.48594140940697578</v>
      </c>
      <c r="M31" s="298">
        <f t="shared" si="2"/>
        <v>4226546.0368756447</v>
      </c>
      <c r="N31" s="291" t="s">
        <v>37</v>
      </c>
      <c r="O31" s="254" t="s">
        <v>136</v>
      </c>
      <c r="P31" s="299">
        <f>200000+(74*500)</f>
        <v>237000</v>
      </c>
      <c r="Q31" s="298">
        <f t="shared" si="6"/>
        <v>4463546.0368756447</v>
      </c>
      <c r="R31" s="298">
        <v>3929033.1084093768</v>
      </c>
      <c r="S31" s="300">
        <f t="shared" si="4"/>
        <v>4196289.5726425108</v>
      </c>
    </row>
    <row r="32" spans="1:19" x14ac:dyDescent="0.2">
      <c r="A32" s="291" t="s">
        <v>39</v>
      </c>
      <c r="B32" s="254" t="s">
        <v>140</v>
      </c>
      <c r="C32" s="292">
        <f>'FY2015 Detail'!D29</f>
        <v>3682</v>
      </c>
      <c r="D32" s="293">
        <v>1245067</v>
      </c>
      <c r="E32" s="293">
        <v>1730</v>
      </c>
      <c r="F32" s="293">
        <f t="shared" si="5"/>
        <v>6369860</v>
      </c>
      <c r="G32" s="294">
        <v>7671</v>
      </c>
      <c r="H32" s="295">
        <v>1181514</v>
      </c>
      <c r="I32" s="295">
        <v>512</v>
      </c>
      <c r="J32" s="295">
        <f t="shared" si="0"/>
        <v>3927552</v>
      </c>
      <c r="K32" s="296">
        <f t="shared" si="1"/>
        <v>12723993</v>
      </c>
      <c r="L32" s="297">
        <f>'Revenue Offset'!G31</f>
        <v>0.56211497759633056</v>
      </c>
      <c r="M32" s="298">
        <f t="shared" si="2"/>
        <v>5571645.9598691333</v>
      </c>
      <c r="N32" s="291" t="s">
        <v>39</v>
      </c>
      <c r="O32" s="254" t="s">
        <v>140</v>
      </c>
      <c r="P32" s="299"/>
      <c r="Q32" s="298">
        <f t="shared" si="6"/>
        <v>5571645.9598691333</v>
      </c>
      <c r="R32" s="298">
        <v>4999203.673609186</v>
      </c>
      <c r="S32" s="300">
        <f t="shared" si="4"/>
        <v>5285424.8167391596</v>
      </c>
    </row>
    <row r="33" spans="1:19" x14ac:dyDescent="0.2">
      <c r="A33" s="291" t="s">
        <v>46</v>
      </c>
      <c r="B33" s="254" t="s">
        <v>70</v>
      </c>
      <c r="C33" s="292">
        <f>'FY2015 Detail'!D30</f>
        <v>4637</v>
      </c>
      <c r="D33" s="293">
        <v>1245067</v>
      </c>
      <c r="E33" s="293">
        <v>1730</v>
      </c>
      <c r="F33" s="293">
        <f t="shared" si="5"/>
        <v>8022010</v>
      </c>
      <c r="G33" s="294">
        <v>11305</v>
      </c>
      <c r="H33" s="295">
        <v>1181514</v>
      </c>
      <c r="I33" s="295">
        <v>512</v>
      </c>
      <c r="J33" s="295">
        <f t="shared" si="0"/>
        <v>5788160</v>
      </c>
      <c r="K33" s="296">
        <f t="shared" si="1"/>
        <v>16236751</v>
      </c>
      <c r="L33" s="297">
        <f>'Revenue Offset'!G32</f>
        <v>0.57477787892645948</v>
      </c>
      <c r="M33" s="298">
        <f t="shared" si="2"/>
        <v>6904225.6995629305</v>
      </c>
      <c r="N33" s="291" t="s">
        <v>46</v>
      </c>
      <c r="O33" s="254" t="s">
        <v>70</v>
      </c>
      <c r="P33" s="299"/>
      <c r="Q33" s="298">
        <f t="shared" si="6"/>
        <v>6904225.6995629305</v>
      </c>
      <c r="R33" s="298">
        <v>5717437.4113863287</v>
      </c>
      <c r="S33" s="300">
        <f t="shared" si="4"/>
        <v>6310831.5554746296</v>
      </c>
    </row>
    <row r="34" spans="1:19" x14ac:dyDescent="0.2">
      <c r="A34" s="291" t="s">
        <v>41</v>
      </c>
      <c r="B34" s="254" t="s">
        <v>122</v>
      </c>
      <c r="C34" s="292">
        <f>'FY2015 Detail'!D31</f>
        <v>2159</v>
      </c>
      <c r="D34" s="293">
        <v>1245067</v>
      </c>
      <c r="E34" s="293">
        <v>1730</v>
      </c>
      <c r="F34" s="293">
        <f t="shared" si="5"/>
        <v>3735070</v>
      </c>
      <c r="G34" s="294">
        <v>5066</v>
      </c>
      <c r="H34" s="295">
        <v>1181514</v>
      </c>
      <c r="I34" s="295">
        <v>512</v>
      </c>
      <c r="J34" s="295">
        <f t="shared" si="0"/>
        <v>2593792</v>
      </c>
      <c r="K34" s="296">
        <f t="shared" si="1"/>
        <v>8755443</v>
      </c>
      <c r="L34" s="297">
        <f>'Revenue Offset'!G33</f>
        <v>0.46865714149555238</v>
      </c>
      <c r="M34" s="298">
        <f t="shared" si="2"/>
        <v>4652142.1110927565</v>
      </c>
      <c r="N34" s="291" t="s">
        <v>41</v>
      </c>
      <c r="O34" s="254" t="s">
        <v>122</v>
      </c>
      <c r="P34" s="299">
        <v>200000</v>
      </c>
      <c r="Q34" s="298">
        <f t="shared" si="6"/>
        <v>4852142.1110927565</v>
      </c>
      <c r="R34" s="298">
        <v>4270821.3821314685</v>
      </c>
      <c r="S34" s="300">
        <f t="shared" si="4"/>
        <v>4561481.746612113</v>
      </c>
    </row>
    <row r="35" spans="1:19" x14ac:dyDescent="0.2">
      <c r="A35" s="291" t="s">
        <v>42</v>
      </c>
      <c r="B35" s="254" t="s">
        <v>69</v>
      </c>
      <c r="C35" s="292">
        <f>'FY2015 Detail'!D32</f>
        <v>3760</v>
      </c>
      <c r="D35" s="293">
        <v>4074310</v>
      </c>
      <c r="E35" s="293">
        <v>1939</v>
      </c>
      <c r="F35" s="293">
        <f t="shared" si="5"/>
        <v>7290640</v>
      </c>
      <c r="G35" s="294">
        <v>7856</v>
      </c>
      <c r="H35" s="295">
        <v>2073573</v>
      </c>
      <c r="I35" s="295">
        <v>1162</v>
      </c>
      <c r="J35" s="295">
        <f t="shared" si="0"/>
        <v>9128672</v>
      </c>
      <c r="K35" s="296">
        <f t="shared" si="1"/>
        <v>22567195</v>
      </c>
      <c r="L35" s="297">
        <f>'Revenue Offset'!G34</f>
        <v>0.55660120522880552</v>
      </c>
      <c r="M35" s="298">
        <f t="shared" si="2"/>
        <v>10006267.064366527</v>
      </c>
      <c r="N35" s="291" t="s">
        <v>42</v>
      </c>
      <c r="O35" s="254" t="s">
        <v>69</v>
      </c>
      <c r="P35" s="299"/>
      <c r="Q35" s="298">
        <f t="shared" si="6"/>
        <v>10006267.064366527</v>
      </c>
      <c r="R35" s="298">
        <v>8528151.0526575651</v>
      </c>
      <c r="S35" s="300">
        <f t="shared" si="4"/>
        <v>9267209.0585120469</v>
      </c>
    </row>
    <row r="36" spans="1:19" x14ac:dyDescent="0.2">
      <c r="A36" s="291" t="s">
        <v>43</v>
      </c>
      <c r="B36" s="254" t="s">
        <v>44</v>
      </c>
      <c r="C36" s="292">
        <f>'FY2015 Detail'!D33</f>
        <v>11480</v>
      </c>
      <c r="D36" s="293">
        <v>4074310</v>
      </c>
      <c r="E36" s="293">
        <v>1939</v>
      </c>
      <c r="F36" s="293">
        <f>+C36*E36</f>
        <v>22259720</v>
      </c>
      <c r="G36" s="294">
        <v>18478</v>
      </c>
      <c r="H36" s="295">
        <v>2073573</v>
      </c>
      <c r="I36" s="295">
        <v>1162</v>
      </c>
      <c r="J36" s="295">
        <f t="shared" si="0"/>
        <v>21471436</v>
      </c>
      <c r="K36" s="296">
        <f t="shared" si="1"/>
        <v>49879039</v>
      </c>
      <c r="L36" s="297">
        <f>'Revenue Offset'!G35</f>
        <v>0.59073198573656738</v>
      </c>
      <c r="M36" s="298">
        <f t="shared" si="2"/>
        <v>20413895.244898312</v>
      </c>
      <c r="N36" s="291" t="s">
        <v>43</v>
      </c>
      <c r="O36" s="254" t="s">
        <v>44</v>
      </c>
      <c r="P36" s="299"/>
      <c r="Q36" s="298">
        <f>+M36+P36</f>
        <v>20413895.244898312</v>
      </c>
      <c r="R36" s="298">
        <v>18549285.858488411</v>
      </c>
      <c r="S36" s="300">
        <f t="shared" si="4"/>
        <v>19481590.551693361</v>
      </c>
    </row>
    <row r="37" spans="1:19" x14ac:dyDescent="0.2">
      <c r="A37" s="291" t="s">
        <v>45</v>
      </c>
      <c r="B37" s="254" t="s">
        <v>141</v>
      </c>
      <c r="C37" s="292">
        <f>'FY2015 Detail'!D34</f>
        <v>3202</v>
      </c>
      <c r="D37" s="293">
        <v>1245067</v>
      </c>
      <c r="E37" s="293">
        <v>1730</v>
      </c>
      <c r="F37" s="293">
        <f t="shared" si="5"/>
        <v>5539460</v>
      </c>
      <c r="G37" s="294">
        <v>6364</v>
      </c>
      <c r="H37" s="295">
        <v>1181514</v>
      </c>
      <c r="I37" s="295">
        <v>512</v>
      </c>
      <c r="J37" s="295">
        <f t="shared" si="0"/>
        <v>3258368</v>
      </c>
      <c r="K37" s="296">
        <f t="shared" si="1"/>
        <v>11224409</v>
      </c>
      <c r="L37" s="297">
        <f>'Revenue Offset'!G36</f>
        <v>0.54922558903724827</v>
      </c>
      <c r="M37" s="298">
        <f t="shared" si="2"/>
        <v>5059676.3553800089</v>
      </c>
      <c r="N37" s="291" t="s">
        <v>45</v>
      </c>
      <c r="O37" s="254" t="s">
        <v>141</v>
      </c>
      <c r="P37" s="299"/>
      <c r="Q37" s="298">
        <f t="shared" si="6"/>
        <v>5059676.3553800089</v>
      </c>
      <c r="R37" s="298">
        <v>4458893.3648369145</v>
      </c>
      <c r="S37" s="300">
        <f t="shared" si="4"/>
        <v>4759284.8601084612</v>
      </c>
    </row>
    <row r="38" spans="1:19" x14ac:dyDescent="0.2">
      <c r="A38" s="291" t="s">
        <v>47</v>
      </c>
      <c r="B38" s="254" t="s">
        <v>48</v>
      </c>
      <c r="C38" s="292">
        <f>'FY2015 Detail'!D35</f>
        <v>7530</v>
      </c>
      <c r="D38" s="293">
        <v>4074310</v>
      </c>
      <c r="E38" s="293">
        <v>1939</v>
      </c>
      <c r="F38" s="293">
        <f t="shared" si="5"/>
        <v>14600670</v>
      </c>
      <c r="G38" s="294">
        <v>9557</v>
      </c>
      <c r="H38" s="295">
        <v>2073573</v>
      </c>
      <c r="I38" s="295">
        <v>1162</v>
      </c>
      <c r="J38" s="295">
        <f t="shared" si="0"/>
        <v>11105234</v>
      </c>
      <c r="K38" s="296">
        <f t="shared" si="1"/>
        <v>31853787</v>
      </c>
      <c r="L38" s="297">
        <f>'Revenue Offset'!G37</f>
        <v>0.61802758270138181</v>
      </c>
      <c r="M38" s="298">
        <f t="shared" si="2"/>
        <v>12167268.0205053</v>
      </c>
      <c r="N38" s="291" t="s">
        <v>47</v>
      </c>
      <c r="O38" s="254" t="s">
        <v>48</v>
      </c>
      <c r="P38" s="299">
        <v>200000</v>
      </c>
      <c r="Q38" s="298">
        <f t="shared" si="6"/>
        <v>12367268.0205053</v>
      </c>
      <c r="R38" s="298">
        <v>10990892.503653182</v>
      </c>
      <c r="S38" s="300">
        <f t="shared" si="4"/>
        <v>11679080.262079241</v>
      </c>
    </row>
    <row r="39" spans="1:19" x14ac:dyDescent="0.2">
      <c r="B39" s="168"/>
      <c r="K39" s="56"/>
      <c r="L39" s="127"/>
      <c r="M39" s="56"/>
      <c r="O39" s="168"/>
      <c r="P39" s="56"/>
      <c r="Q39" s="215"/>
      <c r="R39" s="215"/>
    </row>
    <row r="40" spans="1:19" x14ac:dyDescent="0.2">
      <c r="B40" s="157" t="s">
        <v>49</v>
      </c>
      <c r="C40" s="55">
        <f>SUM(C9:C39)</f>
        <v>131640</v>
      </c>
      <c r="D40" s="55">
        <f>SUM(D9:D39)</f>
        <v>57156711</v>
      </c>
      <c r="F40" s="55">
        <f>SUM(F9:F39)</f>
        <v>238790374</v>
      </c>
      <c r="G40" s="55">
        <f>SUM(G9:G39)</f>
        <v>261626</v>
      </c>
      <c r="H40" s="55">
        <f>SUM(H9:H39)</f>
        <v>41689833</v>
      </c>
      <c r="J40" s="55">
        <f>SUM(J9:J39)</f>
        <v>188191112</v>
      </c>
      <c r="K40" s="55">
        <f>SUM(K9:K39)</f>
        <v>525828030</v>
      </c>
      <c r="L40" s="102">
        <f>'Revenue Offset'!G39</f>
        <v>0.56169765153175266</v>
      </c>
      <c r="M40" s="55">
        <f t="shared" ref="M40:S40" si="7">SUM(M9:M39)</f>
        <v>231142115.52680364</v>
      </c>
      <c r="O40" s="157" t="s">
        <v>49</v>
      </c>
      <c r="P40" s="55">
        <f t="shared" si="7"/>
        <v>4211000</v>
      </c>
      <c r="Q40" s="55">
        <f t="shared" si="7"/>
        <v>235353115.52680364</v>
      </c>
      <c r="R40" s="55">
        <f t="shared" si="7"/>
        <v>207446119.47260022</v>
      </c>
      <c r="S40" s="55">
        <f t="shared" si="7"/>
        <v>221399617.49970192</v>
      </c>
    </row>
    <row r="41" spans="1:19" x14ac:dyDescent="0.2">
      <c r="B41" s="168"/>
      <c r="L41" s="169"/>
      <c r="O41" s="168"/>
      <c r="Q41" s="169"/>
      <c r="R41" s="169"/>
    </row>
    <row r="42" spans="1:19" x14ac:dyDescent="0.2">
      <c r="A42" s="16" t="s">
        <v>330</v>
      </c>
      <c r="B42" s="170"/>
      <c r="M42" s="171"/>
      <c r="N42" s="129">
        <f>+'[1]FY2015 Detail'!O40</f>
        <v>0</v>
      </c>
      <c r="O42" s="170"/>
    </row>
    <row r="43" spans="1:19" x14ac:dyDescent="0.2">
      <c r="A43" s="129"/>
      <c r="B43" s="170"/>
      <c r="N43" s="129">
        <f>+'[1]FY2015 Detail'!O41</f>
        <v>0</v>
      </c>
      <c r="O43" s="170"/>
    </row>
    <row r="44" spans="1:19" x14ac:dyDescent="0.2">
      <c r="A44" s="129"/>
      <c r="B44" s="170"/>
      <c r="N44" s="129"/>
      <c r="O44" s="170"/>
    </row>
    <row r="46" spans="1:19" x14ac:dyDescent="0.2">
      <c r="E46" s="203"/>
      <c r="I46" s="203"/>
      <c r="L46" s="301"/>
      <c r="M46" s="205"/>
      <c r="P46" s="204"/>
    </row>
    <row r="47" spans="1:19" x14ac:dyDescent="0.2">
      <c r="E47" s="203"/>
      <c r="I47" s="203"/>
      <c r="L47" s="301"/>
      <c r="M47" s="205"/>
      <c r="P47" s="204"/>
    </row>
  </sheetData>
  <pageMargins left="0.7" right="0.7" top="0.75" bottom="0.75" header="0.3" footer="0.3"/>
  <pageSetup scale="7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52"/>
  <sheetViews>
    <sheetView topLeftCell="A25" zoomScale="90" zoomScaleNormal="90" workbookViewId="0">
      <selection activeCell="A52" sqref="A52"/>
    </sheetView>
  </sheetViews>
  <sheetFormatPr defaultRowHeight="12.75" x14ac:dyDescent="0.2"/>
  <cols>
    <col min="1" max="1" width="46.28515625" style="317" bestFit="1" customWidth="1"/>
    <col min="2" max="2" width="10" style="317" bestFit="1" customWidth="1"/>
    <col min="3" max="3" width="11.85546875" style="317" customWidth="1"/>
    <col min="4" max="4" width="11.28515625" style="401" customWidth="1"/>
    <col min="5" max="5" width="10" style="401" bestFit="1" customWidth="1"/>
    <col min="6" max="6" width="10" style="401" customWidth="1"/>
    <col min="7" max="7" width="11.85546875" style="401" customWidth="1"/>
    <col min="8" max="8" width="11.28515625" style="401" bestFit="1" customWidth="1"/>
    <col min="9" max="9" width="8" style="317" customWidth="1"/>
    <col min="10" max="10" width="17.28515625" style="317" customWidth="1"/>
    <col min="11" max="11" width="11.5703125" style="317" customWidth="1"/>
    <col min="12" max="12" width="11.28515625" style="317" customWidth="1"/>
    <col min="13" max="13" width="11.5703125" style="317" customWidth="1"/>
    <col min="14" max="14" width="1.5703125" style="317" customWidth="1"/>
    <col min="15" max="15" width="11.42578125" style="317" customWidth="1"/>
    <col min="16" max="16384" width="9.140625" style="317"/>
  </cols>
  <sheetData>
    <row r="1" spans="1:13" x14ac:dyDescent="0.2">
      <c r="A1" s="501" t="s">
        <v>266</v>
      </c>
      <c r="B1" s="501"/>
      <c r="C1" s="501"/>
      <c r="D1" s="501"/>
      <c r="E1" s="501"/>
      <c r="F1" s="501"/>
      <c r="G1" s="501"/>
      <c r="H1" s="501"/>
      <c r="I1" s="501"/>
      <c r="J1" s="316"/>
      <c r="K1" s="483" t="s">
        <v>321</v>
      </c>
      <c r="L1" s="316" t="s">
        <v>219</v>
      </c>
      <c r="M1" s="316" t="s">
        <v>226</v>
      </c>
    </row>
    <row r="2" spans="1:13" x14ac:dyDescent="0.2">
      <c r="A2" s="314" t="s">
        <v>243</v>
      </c>
      <c r="B2" s="314"/>
      <c r="C2" s="314"/>
      <c r="D2" s="315"/>
      <c r="E2" s="315"/>
      <c r="F2" s="315"/>
      <c r="G2" s="315"/>
      <c r="H2" s="315"/>
      <c r="I2" s="314"/>
      <c r="J2" s="317" t="s">
        <v>244</v>
      </c>
      <c r="L2" s="318">
        <v>0.1</v>
      </c>
      <c r="M2" s="318">
        <v>0.1</v>
      </c>
    </row>
    <row r="3" spans="1:13" x14ac:dyDescent="0.2">
      <c r="A3" s="502" t="s">
        <v>300</v>
      </c>
      <c r="B3" s="502"/>
      <c r="C3" s="502"/>
      <c r="D3" s="502"/>
      <c r="E3" s="502"/>
      <c r="F3" s="502"/>
      <c r="G3" s="502"/>
      <c r="H3" s="502"/>
      <c r="I3" s="502"/>
      <c r="J3" s="317" t="s">
        <v>245</v>
      </c>
      <c r="L3" s="318">
        <v>0.75</v>
      </c>
      <c r="M3" s="318">
        <v>0.75</v>
      </c>
    </row>
    <row r="4" spans="1:13" ht="15.6" customHeight="1" thickBot="1" x14ac:dyDescent="0.25">
      <c r="B4" s="319" t="s">
        <v>81</v>
      </c>
      <c r="C4" s="319" t="s">
        <v>74</v>
      </c>
      <c r="D4" s="319" t="s">
        <v>75</v>
      </c>
      <c r="E4" s="319" t="s">
        <v>76</v>
      </c>
      <c r="F4" s="319" t="s">
        <v>77</v>
      </c>
      <c r="G4" s="319" t="s">
        <v>78</v>
      </c>
      <c r="H4" s="319" t="s">
        <v>246</v>
      </c>
      <c r="I4" s="320"/>
      <c r="J4" s="321" t="s">
        <v>247</v>
      </c>
      <c r="K4" s="321" t="s">
        <v>116</v>
      </c>
      <c r="L4" s="321" t="s">
        <v>248</v>
      </c>
      <c r="M4" s="321" t="s">
        <v>249</v>
      </c>
    </row>
    <row r="5" spans="1:13" s="331" customFormat="1" ht="77.25" thickBot="1" x14ac:dyDescent="0.25">
      <c r="A5" s="322" t="s">
        <v>219</v>
      </c>
      <c r="B5" s="323" t="s">
        <v>250</v>
      </c>
      <c r="C5" s="324" t="s">
        <v>251</v>
      </c>
      <c r="D5" s="325" t="s">
        <v>252</v>
      </c>
      <c r="E5" s="325" t="s">
        <v>253</v>
      </c>
      <c r="F5" s="325" t="s">
        <v>254</v>
      </c>
      <c r="G5" s="326" t="s">
        <v>255</v>
      </c>
      <c r="H5" s="325" t="s">
        <v>256</v>
      </c>
      <c r="I5" s="327" t="s">
        <v>257</v>
      </c>
      <c r="J5" s="328" t="s">
        <v>258</v>
      </c>
      <c r="K5" s="329" t="s">
        <v>259</v>
      </c>
      <c r="L5" s="328" t="s">
        <v>260</v>
      </c>
      <c r="M5" s="330" t="s">
        <v>261</v>
      </c>
    </row>
    <row r="6" spans="1:13" s="344" customFormat="1" ht="12.75" customHeight="1" x14ac:dyDescent="0.2">
      <c r="A6" s="332" t="s">
        <v>201</v>
      </c>
      <c r="B6" s="333">
        <v>3927</v>
      </c>
      <c r="C6" s="334">
        <v>449</v>
      </c>
      <c r="D6" s="335">
        <v>511</v>
      </c>
      <c r="E6" s="335">
        <v>832</v>
      </c>
      <c r="F6" s="336">
        <v>359</v>
      </c>
      <c r="G6" s="337">
        <v>64</v>
      </c>
      <c r="H6" s="338">
        <f>SUM(D6:F6)-G6</f>
        <v>1638</v>
      </c>
      <c r="I6" s="339">
        <f t="shared" ref="I6:I21" si="0">H6/H$48</f>
        <v>8.9748015188125651E-3</v>
      </c>
      <c r="J6" s="340">
        <f t="shared" ref="J6:J36" si="1">H6*$L$2</f>
        <v>163.80000000000001</v>
      </c>
      <c r="K6" s="341">
        <f>C6*L3</f>
        <v>336.75</v>
      </c>
      <c r="L6" s="342">
        <f t="shared" ref="L6:L36" si="2">(B6-C6)+J6+K6</f>
        <v>3978.55</v>
      </c>
      <c r="M6" s="343">
        <f t="shared" ref="M6:M37" si="3">(L6+-B6)/B6</f>
        <v>1.3127069009421996E-2</v>
      </c>
    </row>
    <row r="7" spans="1:13" s="344" customFormat="1" x14ac:dyDescent="0.2">
      <c r="A7" s="345" t="s">
        <v>202</v>
      </c>
      <c r="B7" s="333">
        <v>12008</v>
      </c>
      <c r="C7" s="334">
        <v>2215</v>
      </c>
      <c r="D7" s="335">
        <v>1805</v>
      </c>
      <c r="E7" s="335">
        <v>3188</v>
      </c>
      <c r="F7" s="346">
        <v>2619</v>
      </c>
      <c r="G7" s="347">
        <v>563</v>
      </c>
      <c r="H7" s="348">
        <f>SUM(D7:F7)-G7</f>
        <v>7049</v>
      </c>
      <c r="I7" s="343">
        <f t="shared" si="0"/>
        <v>3.8622329613009626E-2</v>
      </c>
      <c r="J7" s="349">
        <f t="shared" si="1"/>
        <v>704.90000000000009</v>
      </c>
      <c r="K7" s="350">
        <f t="shared" ref="K7:K36" si="4">C7*$L$3</f>
        <v>1661.25</v>
      </c>
      <c r="L7" s="351">
        <f t="shared" si="2"/>
        <v>12159.15</v>
      </c>
      <c r="M7" s="343">
        <f t="shared" si="3"/>
        <v>1.2587441705529617E-2</v>
      </c>
    </row>
    <row r="8" spans="1:13" s="344" customFormat="1" x14ac:dyDescent="0.2">
      <c r="A8" s="345" t="s">
        <v>203</v>
      </c>
      <c r="B8" s="333">
        <v>2687</v>
      </c>
      <c r="C8" s="334">
        <v>262</v>
      </c>
      <c r="D8" s="335">
        <v>502</v>
      </c>
      <c r="E8" s="335">
        <v>1008</v>
      </c>
      <c r="F8" s="346">
        <v>610</v>
      </c>
      <c r="G8" s="347">
        <v>88</v>
      </c>
      <c r="H8" s="348">
        <f t="shared" ref="H8:H35" si="5">SUM(D8:F8)-G8</f>
        <v>2032</v>
      </c>
      <c r="I8" s="343">
        <f t="shared" si="0"/>
        <v>1.1133575510517175E-2</v>
      </c>
      <c r="J8" s="349">
        <f t="shared" si="1"/>
        <v>203.20000000000002</v>
      </c>
      <c r="K8" s="350">
        <f t="shared" si="4"/>
        <v>196.5</v>
      </c>
      <c r="L8" s="351">
        <f t="shared" si="2"/>
        <v>2824.7</v>
      </c>
      <c r="M8" s="343">
        <f t="shared" si="3"/>
        <v>5.1246743580200899E-2</v>
      </c>
    </row>
    <row r="9" spans="1:13" s="344" customFormat="1" x14ac:dyDescent="0.2">
      <c r="A9" s="345" t="s">
        <v>7</v>
      </c>
      <c r="B9" s="333">
        <v>5454</v>
      </c>
      <c r="C9" s="334">
        <v>2059</v>
      </c>
      <c r="D9" s="335">
        <v>878</v>
      </c>
      <c r="E9" s="335">
        <v>1423</v>
      </c>
      <c r="F9" s="346">
        <v>561</v>
      </c>
      <c r="G9" s="347">
        <v>371</v>
      </c>
      <c r="H9" s="348">
        <f t="shared" si="5"/>
        <v>2491</v>
      </c>
      <c r="I9" s="343">
        <f t="shared" si="0"/>
        <v>1.3648492419634981E-2</v>
      </c>
      <c r="J9" s="349">
        <f t="shared" si="1"/>
        <v>249.10000000000002</v>
      </c>
      <c r="K9" s="350">
        <f t="shared" si="4"/>
        <v>1544.25</v>
      </c>
      <c r="L9" s="351">
        <f t="shared" si="2"/>
        <v>5188.3500000000004</v>
      </c>
      <c r="M9" s="343">
        <f t="shared" si="3"/>
        <v>-4.8707370737073638E-2</v>
      </c>
    </row>
    <row r="10" spans="1:13" s="344" customFormat="1" x14ac:dyDescent="0.2">
      <c r="A10" s="345" t="s">
        <v>9</v>
      </c>
      <c r="B10" s="333">
        <v>12346</v>
      </c>
      <c r="C10" s="334">
        <v>484</v>
      </c>
      <c r="D10" s="335">
        <v>2787</v>
      </c>
      <c r="E10" s="335">
        <v>4917</v>
      </c>
      <c r="F10" s="346">
        <v>4766</v>
      </c>
      <c r="G10" s="347">
        <v>168</v>
      </c>
      <c r="H10" s="348">
        <f t="shared" si="5"/>
        <v>12302</v>
      </c>
      <c r="I10" s="343">
        <f t="shared" si="0"/>
        <v>6.7404156461802298E-2</v>
      </c>
      <c r="J10" s="349">
        <f t="shared" si="1"/>
        <v>1230.2</v>
      </c>
      <c r="K10" s="350">
        <f t="shared" si="4"/>
        <v>363</v>
      </c>
      <c r="L10" s="351">
        <f t="shared" si="2"/>
        <v>13455.2</v>
      </c>
      <c r="M10" s="343">
        <f t="shared" si="3"/>
        <v>8.9842864085533838E-2</v>
      </c>
    </row>
    <row r="11" spans="1:13" s="344" customFormat="1" x14ac:dyDescent="0.2">
      <c r="A11" s="345" t="s">
        <v>204</v>
      </c>
      <c r="B11" s="333">
        <v>3747</v>
      </c>
      <c r="C11" s="334"/>
      <c r="D11" s="335">
        <v>684</v>
      </c>
      <c r="E11" s="335">
        <v>1065</v>
      </c>
      <c r="F11" s="346">
        <v>813</v>
      </c>
      <c r="G11" s="347"/>
      <c r="H11" s="348">
        <f t="shared" si="5"/>
        <v>2562</v>
      </c>
      <c r="I11" s="343">
        <f t="shared" si="0"/>
        <v>1.4037510067886319E-2</v>
      </c>
      <c r="J11" s="349">
        <f t="shared" si="1"/>
        <v>256.2</v>
      </c>
      <c r="K11" s="350">
        <f t="shared" si="4"/>
        <v>0</v>
      </c>
      <c r="L11" s="351">
        <f t="shared" si="2"/>
        <v>4003.2</v>
      </c>
      <c r="M11" s="343">
        <f t="shared" si="3"/>
        <v>6.8374699759807797E-2</v>
      </c>
    </row>
    <row r="12" spans="1:13" s="344" customFormat="1" x14ac:dyDescent="0.2">
      <c r="A12" s="345" t="s">
        <v>234</v>
      </c>
      <c r="B12" s="333">
        <v>2522</v>
      </c>
      <c r="C12" s="334">
        <v>1387</v>
      </c>
      <c r="D12" s="335">
        <v>342</v>
      </c>
      <c r="E12" s="335">
        <v>673</v>
      </c>
      <c r="F12" s="346">
        <v>542</v>
      </c>
      <c r="G12" s="347">
        <v>187</v>
      </c>
      <c r="H12" s="348">
        <f t="shared" si="5"/>
        <v>1370</v>
      </c>
      <c r="I12" s="343">
        <f t="shared" si="0"/>
        <v>7.5063968747089219E-3</v>
      </c>
      <c r="J12" s="349">
        <f t="shared" si="1"/>
        <v>137</v>
      </c>
      <c r="K12" s="350">
        <f t="shared" si="4"/>
        <v>1040.25</v>
      </c>
      <c r="L12" s="351">
        <f t="shared" si="2"/>
        <v>2312.25</v>
      </c>
      <c r="M12" s="343">
        <f t="shared" si="3"/>
        <v>-8.3168120539254556E-2</v>
      </c>
    </row>
    <row r="13" spans="1:13" s="344" customFormat="1" x14ac:dyDescent="0.2">
      <c r="A13" s="345" t="s">
        <v>145</v>
      </c>
      <c r="B13" s="333">
        <v>7764</v>
      </c>
      <c r="C13" s="334">
        <v>656</v>
      </c>
      <c r="D13" s="335">
        <v>2025</v>
      </c>
      <c r="E13" s="335">
        <v>2993</v>
      </c>
      <c r="F13" s="346">
        <v>3349</v>
      </c>
      <c r="G13" s="347">
        <v>142</v>
      </c>
      <c r="H13" s="348">
        <f t="shared" si="5"/>
        <v>8225</v>
      </c>
      <c r="I13" s="343">
        <f t="shared" si="0"/>
        <v>4.5065776857285314E-2</v>
      </c>
      <c r="J13" s="349">
        <f t="shared" si="1"/>
        <v>822.5</v>
      </c>
      <c r="K13" s="350">
        <f t="shared" si="4"/>
        <v>492</v>
      </c>
      <c r="L13" s="351">
        <f t="shared" si="2"/>
        <v>8422.5</v>
      </c>
      <c r="M13" s="343">
        <f t="shared" si="3"/>
        <v>8.4814528593508506E-2</v>
      </c>
    </row>
    <row r="14" spans="1:13" s="344" customFormat="1" x14ac:dyDescent="0.2">
      <c r="A14" s="345" t="s">
        <v>205</v>
      </c>
      <c r="B14" s="333">
        <v>7309</v>
      </c>
      <c r="C14" s="334">
        <v>221</v>
      </c>
      <c r="D14" s="335">
        <v>1295</v>
      </c>
      <c r="E14" s="335">
        <v>2169</v>
      </c>
      <c r="F14" s="346">
        <v>2379</v>
      </c>
      <c r="G14" s="347">
        <v>87</v>
      </c>
      <c r="H14" s="348">
        <f t="shared" si="5"/>
        <v>5756</v>
      </c>
      <c r="I14" s="343">
        <f t="shared" si="0"/>
        <v>3.1537825117390186E-2</v>
      </c>
      <c r="J14" s="349">
        <f t="shared" si="1"/>
        <v>575.6</v>
      </c>
      <c r="K14" s="350">
        <f t="shared" si="4"/>
        <v>165.75</v>
      </c>
      <c r="L14" s="351">
        <f t="shared" si="2"/>
        <v>7829.35</v>
      </c>
      <c r="M14" s="343">
        <f t="shared" si="3"/>
        <v>7.1193049664796879E-2</v>
      </c>
    </row>
    <row r="15" spans="1:13" s="344" customFormat="1" x14ac:dyDescent="0.2">
      <c r="A15" s="345" t="s">
        <v>17</v>
      </c>
      <c r="B15" s="333">
        <v>7910</v>
      </c>
      <c r="C15" s="334">
        <v>1331</v>
      </c>
      <c r="D15" s="335">
        <v>1017</v>
      </c>
      <c r="E15" s="335">
        <v>1928</v>
      </c>
      <c r="F15" s="346">
        <v>968</v>
      </c>
      <c r="G15" s="347">
        <v>157</v>
      </c>
      <c r="H15" s="348">
        <f t="shared" si="5"/>
        <v>3756</v>
      </c>
      <c r="I15" s="343">
        <f t="shared" si="0"/>
        <v>2.0579581504676432E-2</v>
      </c>
      <c r="J15" s="349">
        <f t="shared" si="1"/>
        <v>375.6</v>
      </c>
      <c r="K15" s="350">
        <f t="shared" si="4"/>
        <v>998.25</v>
      </c>
      <c r="L15" s="351">
        <f t="shared" si="2"/>
        <v>7952.85</v>
      </c>
      <c r="M15" s="343">
        <f t="shared" si="3"/>
        <v>5.4171934260430297E-3</v>
      </c>
    </row>
    <row r="16" spans="1:13" s="344" customFormat="1" x14ac:dyDescent="0.2">
      <c r="A16" s="345" t="s">
        <v>206</v>
      </c>
      <c r="B16" s="333">
        <v>11302</v>
      </c>
      <c r="C16" s="334">
        <v>441</v>
      </c>
      <c r="D16" s="335">
        <v>2960</v>
      </c>
      <c r="E16" s="335">
        <v>5104</v>
      </c>
      <c r="F16" s="346">
        <v>6291</v>
      </c>
      <c r="G16" s="347">
        <v>312</v>
      </c>
      <c r="H16" s="348">
        <f t="shared" si="5"/>
        <v>14043</v>
      </c>
      <c r="I16" s="343">
        <f t="shared" si="0"/>
        <v>7.6943307526669627E-2</v>
      </c>
      <c r="J16" s="349">
        <f t="shared" si="1"/>
        <v>1404.3000000000002</v>
      </c>
      <c r="K16" s="350">
        <f t="shared" si="4"/>
        <v>330.75</v>
      </c>
      <c r="L16" s="351">
        <f t="shared" si="2"/>
        <v>12596.05</v>
      </c>
      <c r="M16" s="343">
        <f t="shared" si="3"/>
        <v>0.11449743408246321</v>
      </c>
    </row>
    <row r="17" spans="1:13" s="344" customFormat="1" x14ac:dyDescent="0.2">
      <c r="A17" s="345" t="s">
        <v>207</v>
      </c>
      <c r="B17" s="333">
        <v>2896</v>
      </c>
      <c r="C17" s="334">
        <v>342</v>
      </c>
      <c r="D17" s="335">
        <v>570</v>
      </c>
      <c r="E17" s="335">
        <v>952</v>
      </c>
      <c r="F17" s="346">
        <v>438</v>
      </c>
      <c r="G17" s="347">
        <v>51</v>
      </c>
      <c r="H17" s="348">
        <f t="shared" si="5"/>
        <v>1909</v>
      </c>
      <c r="I17" s="343">
        <f t="shared" si="0"/>
        <v>1.0459643528335278E-2</v>
      </c>
      <c r="J17" s="349">
        <f t="shared" si="1"/>
        <v>190.9</v>
      </c>
      <c r="K17" s="350">
        <f t="shared" si="4"/>
        <v>256.5</v>
      </c>
      <c r="L17" s="351">
        <f t="shared" si="2"/>
        <v>3001.4</v>
      </c>
      <c r="M17" s="343">
        <f t="shared" si="3"/>
        <v>3.6395027624309427E-2</v>
      </c>
    </row>
    <row r="18" spans="1:13" s="344" customFormat="1" x14ac:dyDescent="0.2">
      <c r="A18" s="345" t="s">
        <v>208</v>
      </c>
      <c r="B18" s="333">
        <v>8196</v>
      </c>
      <c r="C18" s="334">
        <v>1728</v>
      </c>
      <c r="D18" s="335">
        <v>1435</v>
      </c>
      <c r="E18" s="335">
        <v>2815</v>
      </c>
      <c r="F18" s="346">
        <v>1451</v>
      </c>
      <c r="G18" s="347">
        <v>213</v>
      </c>
      <c r="H18" s="348">
        <f t="shared" si="5"/>
        <v>5488</v>
      </c>
      <c r="I18" s="343">
        <f t="shared" si="0"/>
        <v>3.0069420473286541E-2</v>
      </c>
      <c r="J18" s="349">
        <f t="shared" si="1"/>
        <v>548.80000000000007</v>
      </c>
      <c r="K18" s="350">
        <f t="shared" si="4"/>
        <v>1296</v>
      </c>
      <c r="L18" s="351">
        <f t="shared" si="2"/>
        <v>8312.7999999999993</v>
      </c>
      <c r="M18" s="343">
        <f t="shared" si="3"/>
        <v>1.4250854075158526E-2</v>
      </c>
    </row>
    <row r="19" spans="1:13" s="344" customFormat="1" x14ac:dyDescent="0.2">
      <c r="A19" s="345" t="s">
        <v>236</v>
      </c>
      <c r="B19" s="333">
        <v>4696</v>
      </c>
      <c r="C19" s="334">
        <v>431</v>
      </c>
      <c r="D19" s="335">
        <v>955</v>
      </c>
      <c r="E19" s="335">
        <v>1214</v>
      </c>
      <c r="F19" s="346">
        <v>876</v>
      </c>
      <c r="G19" s="347">
        <v>127</v>
      </c>
      <c r="H19" s="348">
        <f t="shared" si="5"/>
        <v>2918</v>
      </c>
      <c r="I19" s="343">
        <f t="shared" si="0"/>
        <v>1.5988077430949366E-2</v>
      </c>
      <c r="J19" s="349">
        <f t="shared" si="1"/>
        <v>291.8</v>
      </c>
      <c r="K19" s="350">
        <f t="shared" si="4"/>
        <v>323.25</v>
      </c>
      <c r="L19" s="351">
        <f t="shared" si="2"/>
        <v>4880.05</v>
      </c>
      <c r="M19" s="343">
        <f t="shared" si="3"/>
        <v>3.9192930153322016E-2</v>
      </c>
    </row>
    <row r="20" spans="1:13" s="344" customFormat="1" x14ac:dyDescent="0.2">
      <c r="A20" s="345" t="s">
        <v>137</v>
      </c>
      <c r="B20" s="333">
        <v>14877</v>
      </c>
      <c r="C20" s="334">
        <v>619</v>
      </c>
      <c r="D20" s="335">
        <v>2639</v>
      </c>
      <c r="E20" s="335">
        <v>4163</v>
      </c>
      <c r="F20" s="346">
        <v>5384</v>
      </c>
      <c r="G20" s="347">
        <v>324</v>
      </c>
      <c r="H20" s="348">
        <f t="shared" si="5"/>
        <v>11862</v>
      </c>
      <c r="I20" s="343">
        <f t="shared" si="0"/>
        <v>6.4993342867005283E-2</v>
      </c>
      <c r="J20" s="349">
        <f t="shared" si="1"/>
        <v>1186.2</v>
      </c>
      <c r="K20" s="350">
        <f t="shared" si="4"/>
        <v>464.25</v>
      </c>
      <c r="L20" s="351">
        <f t="shared" si="2"/>
        <v>15908.45</v>
      </c>
      <c r="M20" s="343">
        <f t="shared" si="3"/>
        <v>6.9331854540566021E-2</v>
      </c>
    </row>
    <row r="21" spans="1:13" s="344" customFormat="1" x14ac:dyDescent="0.2">
      <c r="A21" s="352" t="s">
        <v>138</v>
      </c>
      <c r="B21" s="333">
        <v>10173</v>
      </c>
      <c r="C21" s="334">
        <v>798</v>
      </c>
      <c r="D21" s="335">
        <v>2297</v>
      </c>
      <c r="E21" s="335">
        <v>3822</v>
      </c>
      <c r="F21" s="346">
        <v>4670</v>
      </c>
      <c r="G21" s="347">
        <v>208</v>
      </c>
      <c r="H21" s="348">
        <f t="shared" si="5"/>
        <v>10581</v>
      </c>
      <c r="I21" s="343">
        <f t="shared" si="0"/>
        <v>5.7974587833062113E-2</v>
      </c>
      <c r="J21" s="349">
        <f t="shared" si="1"/>
        <v>1058.1000000000001</v>
      </c>
      <c r="K21" s="350">
        <f t="shared" si="4"/>
        <v>598.5</v>
      </c>
      <c r="L21" s="351">
        <f t="shared" si="2"/>
        <v>11031.6</v>
      </c>
      <c r="M21" s="343">
        <f t="shared" si="3"/>
        <v>8.4399882040695998E-2</v>
      </c>
    </row>
    <row r="22" spans="1:13" s="344" customFormat="1" x14ac:dyDescent="0.2">
      <c r="A22" s="353" t="s">
        <v>63</v>
      </c>
      <c r="B22" s="354">
        <v>6468</v>
      </c>
      <c r="C22" s="355">
        <v>1128</v>
      </c>
      <c r="D22" s="356">
        <v>1079</v>
      </c>
      <c r="E22" s="356">
        <v>2317</v>
      </c>
      <c r="F22" s="356">
        <v>1110</v>
      </c>
      <c r="G22" s="355">
        <v>185</v>
      </c>
      <c r="H22" s="357">
        <f t="shared" si="5"/>
        <v>4321</v>
      </c>
      <c r="I22" s="358">
        <f t="shared" ref="I22" si="6">SUM(I23:I27)</f>
        <v>2.3675285325268067E-2</v>
      </c>
      <c r="J22" s="359">
        <f t="shared" si="1"/>
        <v>432.1</v>
      </c>
      <c r="K22" s="360">
        <f t="shared" si="4"/>
        <v>846</v>
      </c>
      <c r="L22" s="361">
        <f t="shared" si="2"/>
        <v>6618.1</v>
      </c>
      <c r="M22" s="343">
        <f t="shared" si="3"/>
        <v>2.3206555349412548E-2</v>
      </c>
    </row>
    <row r="23" spans="1:13" s="344" customFormat="1" x14ac:dyDescent="0.2">
      <c r="A23" s="362" t="s">
        <v>237</v>
      </c>
      <c r="B23" s="333">
        <v>1766</v>
      </c>
      <c r="C23" s="334">
        <v>131</v>
      </c>
      <c r="D23" s="335">
        <v>350</v>
      </c>
      <c r="E23" s="335">
        <v>725</v>
      </c>
      <c r="F23" s="346">
        <v>238</v>
      </c>
      <c r="G23" s="347">
        <v>13</v>
      </c>
      <c r="H23" s="348">
        <f t="shared" si="5"/>
        <v>1300</v>
      </c>
      <c r="I23" s="343">
        <f t="shared" ref="I23:I36" si="7">H23/H$48</f>
        <v>7.1228583482639404E-3</v>
      </c>
      <c r="J23" s="349">
        <f t="shared" si="1"/>
        <v>130</v>
      </c>
      <c r="K23" s="350">
        <f t="shared" si="4"/>
        <v>98.25</v>
      </c>
      <c r="L23" s="351">
        <f t="shared" si="2"/>
        <v>1863.25</v>
      </c>
      <c r="M23" s="343">
        <f t="shared" si="3"/>
        <v>5.5067950169875424E-2</v>
      </c>
    </row>
    <row r="24" spans="1:13" s="344" customFormat="1" x14ac:dyDescent="0.2">
      <c r="A24" s="362" t="s">
        <v>238</v>
      </c>
      <c r="B24" s="333">
        <v>1667</v>
      </c>
      <c r="C24" s="334">
        <v>172</v>
      </c>
      <c r="D24" s="335">
        <v>270</v>
      </c>
      <c r="E24" s="335">
        <v>603</v>
      </c>
      <c r="F24" s="346">
        <v>294</v>
      </c>
      <c r="G24" s="347">
        <v>39</v>
      </c>
      <c r="H24" s="348">
        <f t="shared" si="5"/>
        <v>1128</v>
      </c>
      <c r="I24" s="343">
        <f t="shared" si="7"/>
        <v>6.1804493975705574E-3</v>
      </c>
      <c r="J24" s="349">
        <f t="shared" si="1"/>
        <v>112.80000000000001</v>
      </c>
      <c r="K24" s="350">
        <f t="shared" si="4"/>
        <v>129</v>
      </c>
      <c r="L24" s="351">
        <f t="shared" si="2"/>
        <v>1736.8</v>
      </c>
      <c r="M24" s="343">
        <f t="shared" si="3"/>
        <v>4.1871625674865E-2</v>
      </c>
    </row>
    <row r="25" spans="1:13" s="344" customFormat="1" x14ac:dyDescent="0.2">
      <c r="A25" s="362" t="s">
        <v>239</v>
      </c>
      <c r="B25" s="333">
        <v>1742</v>
      </c>
      <c r="C25" s="334">
        <v>496</v>
      </c>
      <c r="D25" s="335">
        <v>265</v>
      </c>
      <c r="E25" s="335">
        <v>570</v>
      </c>
      <c r="F25" s="346">
        <v>288</v>
      </c>
      <c r="G25" s="347">
        <v>91</v>
      </c>
      <c r="H25" s="348">
        <f t="shared" si="5"/>
        <v>1032</v>
      </c>
      <c r="I25" s="343">
        <f t="shared" si="7"/>
        <v>5.6544537041602972E-3</v>
      </c>
      <c r="J25" s="349">
        <f t="shared" si="1"/>
        <v>103.2</v>
      </c>
      <c r="K25" s="350">
        <f t="shared" si="4"/>
        <v>372</v>
      </c>
      <c r="L25" s="351">
        <f t="shared" si="2"/>
        <v>1721.2</v>
      </c>
      <c r="M25" s="343">
        <f t="shared" si="3"/>
        <v>-1.1940298507462661E-2</v>
      </c>
    </row>
    <row r="26" spans="1:13" s="344" customFormat="1" x14ac:dyDescent="0.2">
      <c r="A26" s="362" t="s">
        <v>240</v>
      </c>
      <c r="B26" s="333">
        <v>458</v>
      </c>
      <c r="C26" s="334">
        <v>90</v>
      </c>
      <c r="D26" s="335">
        <v>73</v>
      </c>
      <c r="E26" s="335">
        <v>156</v>
      </c>
      <c r="F26" s="346">
        <v>132</v>
      </c>
      <c r="G26" s="347">
        <v>12</v>
      </c>
      <c r="H26" s="348">
        <f t="shared" si="5"/>
        <v>349</v>
      </c>
      <c r="I26" s="343">
        <f t="shared" si="7"/>
        <v>1.9122135104185502E-3</v>
      </c>
      <c r="J26" s="349">
        <f t="shared" si="1"/>
        <v>34.9</v>
      </c>
      <c r="K26" s="350">
        <f t="shared" si="4"/>
        <v>67.5</v>
      </c>
      <c r="L26" s="351">
        <f t="shared" si="2"/>
        <v>470.4</v>
      </c>
      <c r="M26" s="343">
        <f t="shared" si="3"/>
        <v>2.7074235807860211E-2</v>
      </c>
    </row>
    <row r="27" spans="1:13" s="344" customFormat="1" x14ac:dyDescent="0.2">
      <c r="A27" s="362" t="s">
        <v>241</v>
      </c>
      <c r="B27" s="333">
        <v>835</v>
      </c>
      <c r="C27" s="334">
        <v>239</v>
      </c>
      <c r="D27" s="335">
        <v>121</v>
      </c>
      <c r="E27" s="335">
        <v>263</v>
      </c>
      <c r="F27" s="346">
        <v>158</v>
      </c>
      <c r="G27" s="347">
        <v>30</v>
      </c>
      <c r="H27" s="348">
        <f t="shared" si="5"/>
        <v>512</v>
      </c>
      <c r="I27" s="343">
        <f t="shared" si="7"/>
        <v>2.8053103648547212E-3</v>
      </c>
      <c r="J27" s="349">
        <f t="shared" si="1"/>
        <v>51.2</v>
      </c>
      <c r="K27" s="350">
        <f t="shared" si="4"/>
        <v>179.25</v>
      </c>
      <c r="L27" s="351">
        <f t="shared" si="2"/>
        <v>826.45</v>
      </c>
      <c r="M27" s="343">
        <f t="shared" si="3"/>
        <v>-1.0239520958083777E-2</v>
      </c>
    </row>
    <row r="28" spans="1:13" s="344" customFormat="1" x14ac:dyDescent="0.2">
      <c r="A28" s="345" t="s">
        <v>242</v>
      </c>
      <c r="B28" s="333">
        <v>4892</v>
      </c>
      <c r="C28" s="334">
        <v>435</v>
      </c>
      <c r="D28" s="335">
        <v>868</v>
      </c>
      <c r="E28" s="335">
        <v>1504</v>
      </c>
      <c r="F28" s="346">
        <v>919</v>
      </c>
      <c r="G28" s="347">
        <v>71</v>
      </c>
      <c r="H28" s="348">
        <f t="shared" si="5"/>
        <v>3220</v>
      </c>
      <c r="I28" s="343">
        <f t="shared" si="7"/>
        <v>1.7642772216469146E-2</v>
      </c>
      <c r="J28" s="349">
        <f t="shared" si="1"/>
        <v>322</v>
      </c>
      <c r="K28" s="350">
        <f t="shared" si="4"/>
        <v>326.25</v>
      </c>
      <c r="L28" s="351">
        <f t="shared" si="2"/>
        <v>5105.25</v>
      </c>
      <c r="M28" s="343">
        <f t="shared" si="3"/>
        <v>4.359157808667212E-2</v>
      </c>
    </row>
    <row r="29" spans="1:13" s="344" customFormat="1" x14ac:dyDescent="0.2">
      <c r="A29" s="345" t="s">
        <v>215</v>
      </c>
      <c r="B29" s="333">
        <v>1924</v>
      </c>
      <c r="C29" s="334">
        <v>0</v>
      </c>
      <c r="D29" s="335">
        <v>364</v>
      </c>
      <c r="E29" s="335">
        <v>551</v>
      </c>
      <c r="F29" s="346">
        <v>376</v>
      </c>
      <c r="G29" s="347"/>
      <c r="H29" s="348">
        <f t="shared" si="5"/>
        <v>1291</v>
      </c>
      <c r="I29" s="343">
        <f t="shared" si="7"/>
        <v>7.073546252006728E-3</v>
      </c>
      <c r="J29" s="349">
        <f t="shared" si="1"/>
        <v>129.1</v>
      </c>
      <c r="K29" s="350">
        <f t="shared" si="4"/>
        <v>0</v>
      </c>
      <c r="L29" s="351">
        <f t="shared" si="2"/>
        <v>2053.1</v>
      </c>
      <c r="M29" s="343">
        <f t="shared" si="3"/>
        <v>6.7099792099792055E-2</v>
      </c>
    </row>
    <row r="30" spans="1:13" s="344" customFormat="1" x14ac:dyDescent="0.2">
      <c r="A30" s="345" t="s">
        <v>216</v>
      </c>
      <c r="B30" s="333">
        <v>2636</v>
      </c>
      <c r="C30" s="334">
        <v>1370</v>
      </c>
      <c r="D30" s="335">
        <v>458</v>
      </c>
      <c r="E30" s="335">
        <v>542</v>
      </c>
      <c r="F30" s="346">
        <v>358</v>
      </c>
      <c r="G30" s="347">
        <v>314</v>
      </c>
      <c r="H30" s="348">
        <f t="shared" si="5"/>
        <v>1044</v>
      </c>
      <c r="I30" s="343">
        <f t="shared" si="7"/>
        <v>5.7202031658365798E-3</v>
      </c>
      <c r="J30" s="349">
        <f t="shared" si="1"/>
        <v>104.4</v>
      </c>
      <c r="K30" s="350">
        <f t="shared" si="4"/>
        <v>1027.5</v>
      </c>
      <c r="L30" s="351">
        <f t="shared" si="2"/>
        <v>2397.9</v>
      </c>
      <c r="M30" s="343">
        <f t="shared" si="3"/>
        <v>-9.0326251896813314E-2</v>
      </c>
    </row>
    <row r="31" spans="1:13" s="344" customFormat="1" x14ac:dyDescent="0.2">
      <c r="A31" s="345" t="s">
        <v>36</v>
      </c>
      <c r="B31" s="333">
        <v>4994</v>
      </c>
      <c r="C31" s="334">
        <v>135</v>
      </c>
      <c r="D31" s="335">
        <v>1008</v>
      </c>
      <c r="E31" s="335">
        <v>1666</v>
      </c>
      <c r="F31" s="346">
        <v>772</v>
      </c>
      <c r="G31" s="347">
        <v>25</v>
      </c>
      <c r="H31" s="348">
        <f t="shared" si="5"/>
        <v>3421</v>
      </c>
      <c r="I31" s="343">
        <f t="shared" si="7"/>
        <v>1.8744075699546878E-2</v>
      </c>
      <c r="J31" s="349">
        <f t="shared" si="1"/>
        <v>342.1</v>
      </c>
      <c r="K31" s="350">
        <f t="shared" si="4"/>
        <v>101.25</v>
      </c>
      <c r="L31" s="351">
        <f t="shared" si="2"/>
        <v>5302.35</v>
      </c>
      <c r="M31" s="343">
        <f t="shared" si="3"/>
        <v>6.1744092911493867E-2</v>
      </c>
    </row>
    <row r="32" spans="1:13" s="344" customFormat="1" x14ac:dyDescent="0.2">
      <c r="A32" s="345" t="s">
        <v>136</v>
      </c>
      <c r="B32" s="333">
        <v>4387</v>
      </c>
      <c r="C32" s="334">
        <v>738</v>
      </c>
      <c r="D32" s="335">
        <v>978</v>
      </c>
      <c r="E32" s="335">
        <v>1245</v>
      </c>
      <c r="F32" s="346">
        <v>906</v>
      </c>
      <c r="G32" s="347">
        <v>184</v>
      </c>
      <c r="H32" s="348">
        <f t="shared" si="5"/>
        <v>2945</v>
      </c>
      <c r="I32" s="343">
        <f t="shared" si="7"/>
        <v>1.6136013719721003E-2</v>
      </c>
      <c r="J32" s="349">
        <f t="shared" si="1"/>
        <v>294.5</v>
      </c>
      <c r="K32" s="350">
        <f t="shared" si="4"/>
        <v>553.5</v>
      </c>
      <c r="L32" s="351">
        <f t="shared" si="2"/>
        <v>4497</v>
      </c>
      <c r="M32" s="343">
        <f t="shared" si="3"/>
        <v>2.5074082516526101E-2</v>
      </c>
    </row>
    <row r="33" spans="1:20" s="344" customFormat="1" x14ac:dyDescent="0.2">
      <c r="A33" s="345" t="s">
        <v>217</v>
      </c>
      <c r="B33" s="333">
        <v>7097</v>
      </c>
      <c r="C33" s="334">
        <v>36</v>
      </c>
      <c r="D33" s="335">
        <v>1461</v>
      </c>
      <c r="E33" s="335">
        <v>2612</v>
      </c>
      <c r="F33" s="346">
        <v>1766</v>
      </c>
      <c r="G33" s="347">
        <v>7</v>
      </c>
      <c r="H33" s="348">
        <f t="shared" si="5"/>
        <v>5832</v>
      </c>
      <c r="I33" s="343">
        <f t="shared" si="7"/>
        <v>3.1954238374673309E-2</v>
      </c>
      <c r="J33" s="349">
        <f t="shared" si="1"/>
        <v>583.20000000000005</v>
      </c>
      <c r="K33" s="350">
        <f t="shared" si="4"/>
        <v>27</v>
      </c>
      <c r="L33" s="351">
        <f t="shared" si="2"/>
        <v>7671.2</v>
      </c>
      <c r="M33" s="343">
        <f t="shared" si="3"/>
        <v>8.0907425672819472E-2</v>
      </c>
    </row>
    <row r="34" spans="1:20" s="344" customFormat="1" ht="12.75" customHeight="1" x14ac:dyDescent="0.2">
      <c r="A34" s="332" t="s">
        <v>218</v>
      </c>
      <c r="B34" s="333">
        <v>5857</v>
      </c>
      <c r="C34" s="334">
        <v>37</v>
      </c>
      <c r="D34" s="335">
        <v>1409</v>
      </c>
      <c r="E34" s="335">
        <v>2490</v>
      </c>
      <c r="F34" s="346">
        <v>1280</v>
      </c>
      <c r="G34" s="347">
        <v>15</v>
      </c>
      <c r="H34" s="348">
        <f t="shared" si="5"/>
        <v>5164</v>
      </c>
      <c r="I34" s="343">
        <f t="shared" si="7"/>
        <v>2.8294185008026912E-2</v>
      </c>
      <c r="J34" s="349">
        <f t="shared" si="1"/>
        <v>516.4</v>
      </c>
      <c r="K34" s="350">
        <f t="shared" si="4"/>
        <v>27.75</v>
      </c>
      <c r="L34" s="351">
        <f t="shared" si="2"/>
        <v>6364.15</v>
      </c>
      <c r="M34" s="343">
        <f t="shared" si="3"/>
        <v>8.6588697285299582E-2</v>
      </c>
    </row>
    <row r="35" spans="1:20" s="344" customFormat="1" x14ac:dyDescent="0.2">
      <c r="A35" s="345" t="s">
        <v>70</v>
      </c>
      <c r="B35" s="333">
        <v>10035</v>
      </c>
      <c r="C35" s="334">
        <v>415</v>
      </c>
      <c r="D35" s="335">
        <v>2992</v>
      </c>
      <c r="E35" s="335">
        <v>4949</v>
      </c>
      <c r="F35" s="346">
        <v>6282</v>
      </c>
      <c r="G35" s="347">
        <v>487</v>
      </c>
      <c r="H35" s="348">
        <f t="shared" si="5"/>
        <v>13736</v>
      </c>
      <c r="I35" s="343">
        <f t="shared" si="7"/>
        <v>7.5261217132118058E-2</v>
      </c>
      <c r="J35" s="349">
        <f t="shared" si="1"/>
        <v>1373.6000000000001</v>
      </c>
      <c r="K35" s="350">
        <f t="shared" si="4"/>
        <v>311.25</v>
      </c>
      <c r="L35" s="351">
        <f t="shared" si="2"/>
        <v>11304.85</v>
      </c>
      <c r="M35" s="343">
        <f t="shared" si="3"/>
        <v>0.12654210264075738</v>
      </c>
    </row>
    <row r="36" spans="1:20" s="344" customFormat="1" ht="13.5" thickBot="1" x14ac:dyDescent="0.25">
      <c r="A36" s="363" t="s">
        <v>122</v>
      </c>
      <c r="B36" s="333">
        <v>4710</v>
      </c>
      <c r="C36" s="334">
        <v>53</v>
      </c>
      <c r="D36" s="335">
        <v>1061</v>
      </c>
      <c r="E36" s="335">
        <v>1686</v>
      </c>
      <c r="F36" s="346">
        <v>946</v>
      </c>
      <c r="G36" s="347">
        <v>5</v>
      </c>
      <c r="H36" s="348">
        <f>SUM(D36:F36)-G36</f>
        <v>3688</v>
      </c>
      <c r="I36" s="364">
        <f t="shared" si="7"/>
        <v>2.0207001221844163E-2</v>
      </c>
      <c r="J36" s="349">
        <f t="shared" si="1"/>
        <v>368.8</v>
      </c>
      <c r="K36" s="365">
        <f t="shared" si="4"/>
        <v>39.75</v>
      </c>
      <c r="L36" s="351">
        <f t="shared" si="2"/>
        <v>5065.55</v>
      </c>
      <c r="M36" s="343">
        <f t="shared" si="3"/>
        <v>7.5488322717622125E-2</v>
      </c>
    </row>
    <row r="37" spans="1:20" s="371" customFormat="1" ht="13.5" thickBot="1" x14ac:dyDescent="0.25">
      <c r="A37" s="366" t="s">
        <v>262</v>
      </c>
      <c r="B37" s="367">
        <f>SUM(B6:B22,B28:B36)</f>
        <v>170814</v>
      </c>
      <c r="C37" s="368">
        <f>SUM(C6:C22,C28:C36)</f>
        <v>17770</v>
      </c>
      <c r="D37" s="369">
        <f t="shared" ref="D37:L37" si="8">SUM(D6:D22,D28:D36)</f>
        <v>34380</v>
      </c>
      <c r="E37" s="369">
        <f t="shared" si="8"/>
        <v>57828</v>
      </c>
      <c r="F37" s="369">
        <f t="shared" si="8"/>
        <v>50791</v>
      </c>
      <c r="G37" s="368">
        <f t="shared" si="8"/>
        <v>4355</v>
      </c>
      <c r="H37" s="369">
        <f t="shared" si="8"/>
        <v>138644</v>
      </c>
      <c r="I37" s="370">
        <f>SUM(I6:I22,I28:I36)</f>
        <v>0.75964736372054265</v>
      </c>
      <c r="J37" s="367">
        <f t="shared" si="8"/>
        <v>13864.400000000001</v>
      </c>
      <c r="K37" s="368">
        <f t="shared" si="8"/>
        <v>13327.5</v>
      </c>
      <c r="L37" s="367">
        <f t="shared" si="8"/>
        <v>180235.9</v>
      </c>
      <c r="M37" s="343">
        <f t="shared" si="3"/>
        <v>5.5158827730748032E-2</v>
      </c>
      <c r="N37" s="344"/>
      <c r="O37" s="344"/>
      <c r="P37" s="344"/>
      <c r="Q37" s="344"/>
      <c r="R37" s="344"/>
      <c r="S37" s="344"/>
      <c r="T37" s="344"/>
    </row>
    <row r="38" spans="1:20" s="344" customFormat="1" ht="13.5" thickBot="1" x14ac:dyDescent="0.25">
      <c r="A38" s="372"/>
      <c r="B38" s="373"/>
      <c r="C38" s="373"/>
      <c r="D38" s="374"/>
      <c r="E38" s="374"/>
      <c r="F38" s="374"/>
      <c r="G38" s="374"/>
      <c r="H38" s="375"/>
      <c r="I38" s="376"/>
      <c r="M38" s="376"/>
    </row>
    <row r="39" spans="1:20" s="382" customFormat="1" ht="13.5" thickBot="1" x14ac:dyDescent="0.25">
      <c r="A39" s="377" t="s">
        <v>226</v>
      </c>
      <c r="B39" s="378"/>
      <c r="C39" s="378"/>
      <c r="D39" s="379"/>
      <c r="E39" s="379"/>
      <c r="F39" s="380"/>
      <c r="G39" s="380"/>
      <c r="H39" s="381"/>
      <c r="I39" s="376"/>
      <c r="M39" s="376"/>
    </row>
    <row r="40" spans="1:20" s="344" customFormat="1" x14ac:dyDescent="0.2">
      <c r="A40" s="383" t="s">
        <v>220</v>
      </c>
      <c r="B40" s="333">
        <v>6466</v>
      </c>
      <c r="C40" s="334">
        <v>434</v>
      </c>
      <c r="D40" s="335">
        <v>874</v>
      </c>
      <c r="E40" s="335">
        <v>1915</v>
      </c>
      <c r="F40" s="384">
        <v>759</v>
      </c>
      <c r="G40" s="385">
        <v>50</v>
      </c>
      <c r="H40" s="386">
        <f t="shared" ref="H40:H46" si="9">SUM(D40:F40)-G40</f>
        <v>3498</v>
      </c>
      <c r="I40" s="339">
        <f t="shared" ref="I40:I46" si="10">H40/H$48</f>
        <v>1.9165968078636356E-2</v>
      </c>
      <c r="J40" s="349">
        <f t="shared" ref="J40:J46" si="11">H40*$M$2</f>
        <v>349.8</v>
      </c>
      <c r="K40" s="365">
        <f t="shared" ref="K40:K46" si="12">C40*$L$3</f>
        <v>325.5</v>
      </c>
      <c r="L40" s="351">
        <f t="shared" ref="L40:L46" si="13">(B40-C40)+J40+K40</f>
        <v>6707.3</v>
      </c>
      <c r="M40" s="343">
        <f t="shared" ref="M40:M48" si="14">(L40+-B40)/B40</f>
        <v>3.7318280235075808E-2</v>
      </c>
    </row>
    <row r="41" spans="1:20" s="344" customFormat="1" x14ac:dyDescent="0.2">
      <c r="A41" s="345" t="s">
        <v>146</v>
      </c>
      <c r="B41" s="333">
        <v>11342</v>
      </c>
      <c r="C41" s="334"/>
      <c r="D41" s="335">
        <v>2648</v>
      </c>
      <c r="E41" s="335">
        <v>4652</v>
      </c>
      <c r="F41" s="346">
        <v>4752</v>
      </c>
      <c r="G41" s="347"/>
      <c r="H41" s="348">
        <f t="shared" si="9"/>
        <v>12052</v>
      </c>
      <c r="I41" s="343">
        <f t="shared" si="10"/>
        <v>6.6034376010213086E-2</v>
      </c>
      <c r="J41" s="349">
        <f t="shared" si="11"/>
        <v>1205.2</v>
      </c>
      <c r="K41" s="365">
        <f t="shared" si="12"/>
        <v>0</v>
      </c>
      <c r="L41" s="351">
        <f t="shared" si="13"/>
        <v>12547.2</v>
      </c>
      <c r="M41" s="343">
        <f t="shared" si="14"/>
        <v>0.10625991888555816</v>
      </c>
    </row>
    <row r="42" spans="1:20" s="344" customFormat="1" x14ac:dyDescent="0.2">
      <c r="A42" s="345" t="s">
        <v>221</v>
      </c>
      <c r="B42" s="333">
        <v>17970</v>
      </c>
      <c r="C42" s="334">
        <v>956</v>
      </c>
      <c r="D42" s="335">
        <v>2414</v>
      </c>
      <c r="E42" s="335">
        <v>4105</v>
      </c>
      <c r="F42" s="346">
        <v>2744</v>
      </c>
      <c r="G42" s="347">
        <v>176</v>
      </c>
      <c r="H42" s="348">
        <f t="shared" si="9"/>
        <v>9087</v>
      </c>
      <c r="I42" s="343">
        <f t="shared" si="10"/>
        <v>4.9788779854364945E-2</v>
      </c>
      <c r="J42" s="349">
        <f t="shared" si="11"/>
        <v>908.7</v>
      </c>
      <c r="K42" s="350">
        <f t="shared" si="12"/>
        <v>717</v>
      </c>
      <c r="L42" s="351">
        <f t="shared" si="13"/>
        <v>18639.7</v>
      </c>
      <c r="M42" s="343">
        <f t="shared" si="14"/>
        <v>3.7267668336115792E-2</v>
      </c>
    </row>
    <row r="43" spans="1:20" s="344" customFormat="1" x14ac:dyDescent="0.2">
      <c r="A43" s="345" t="s">
        <v>222</v>
      </c>
      <c r="B43" s="333">
        <v>7271</v>
      </c>
      <c r="C43" s="334"/>
      <c r="D43" s="335">
        <v>830</v>
      </c>
      <c r="E43" s="335">
        <v>1703</v>
      </c>
      <c r="F43" s="346">
        <v>817</v>
      </c>
      <c r="G43" s="347"/>
      <c r="H43" s="348">
        <f t="shared" si="9"/>
        <v>3350</v>
      </c>
      <c r="I43" s="343">
        <f t="shared" si="10"/>
        <v>1.8355058051295538E-2</v>
      </c>
      <c r="J43" s="349">
        <f t="shared" si="11"/>
        <v>335</v>
      </c>
      <c r="K43" s="350">
        <f t="shared" si="12"/>
        <v>0</v>
      </c>
      <c r="L43" s="351">
        <f t="shared" si="13"/>
        <v>7606</v>
      </c>
      <c r="M43" s="343">
        <f t="shared" si="14"/>
        <v>4.6073442442580111E-2</v>
      </c>
    </row>
    <row r="44" spans="1:20" s="344" customFormat="1" x14ac:dyDescent="0.2">
      <c r="A44" s="345" t="s">
        <v>223</v>
      </c>
      <c r="B44" s="333">
        <v>18441</v>
      </c>
      <c r="C44" s="334">
        <v>3667</v>
      </c>
      <c r="D44" s="335">
        <v>2509</v>
      </c>
      <c r="E44" s="335">
        <v>4516</v>
      </c>
      <c r="F44" s="346">
        <v>3098</v>
      </c>
      <c r="G44" s="347">
        <v>590</v>
      </c>
      <c r="H44" s="348">
        <f t="shared" si="9"/>
        <v>9533</v>
      </c>
      <c r="I44" s="343">
        <f t="shared" si="10"/>
        <v>5.2232468180000109E-2</v>
      </c>
      <c r="J44" s="349">
        <f t="shared" si="11"/>
        <v>953.30000000000007</v>
      </c>
      <c r="K44" s="350">
        <f t="shared" si="12"/>
        <v>2750.25</v>
      </c>
      <c r="L44" s="351">
        <f t="shared" si="13"/>
        <v>18477.55</v>
      </c>
      <c r="M44" s="343">
        <f t="shared" si="14"/>
        <v>1.9819966379263205E-3</v>
      </c>
    </row>
    <row r="45" spans="1:20" s="344" customFormat="1" x14ac:dyDescent="0.2">
      <c r="A45" s="345" t="s">
        <v>224</v>
      </c>
      <c r="B45" s="333">
        <v>9019</v>
      </c>
      <c r="C45" s="334">
        <v>5455</v>
      </c>
      <c r="D45" s="335">
        <v>972</v>
      </c>
      <c r="E45" s="335">
        <v>979</v>
      </c>
      <c r="F45" s="346">
        <v>913</v>
      </c>
      <c r="G45" s="347">
        <v>859</v>
      </c>
      <c r="H45" s="348">
        <f t="shared" si="9"/>
        <v>2005</v>
      </c>
      <c r="I45" s="343">
        <f t="shared" si="10"/>
        <v>1.0985639221745539E-2</v>
      </c>
      <c r="J45" s="349">
        <f t="shared" si="11"/>
        <v>200.5</v>
      </c>
      <c r="K45" s="350">
        <f t="shared" si="12"/>
        <v>4091.25</v>
      </c>
      <c r="L45" s="351">
        <f t="shared" si="13"/>
        <v>7855.75</v>
      </c>
      <c r="M45" s="343">
        <f t="shared" si="14"/>
        <v>-0.12897771371548952</v>
      </c>
    </row>
    <row r="46" spans="1:20" s="344" customFormat="1" ht="13.5" thickBot="1" x14ac:dyDescent="0.25">
      <c r="A46" s="363" t="s">
        <v>225</v>
      </c>
      <c r="B46" s="333">
        <v>9123</v>
      </c>
      <c r="C46" s="334"/>
      <c r="D46" s="335">
        <v>1130</v>
      </c>
      <c r="E46" s="335">
        <v>2233</v>
      </c>
      <c r="F46" s="346">
        <v>979</v>
      </c>
      <c r="G46" s="347"/>
      <c r="H46" s="348">
        <f t="shared" si="9"/>
        <v>4342</v>
      </c>
      <c r="I46" s="387">
        <f t="shared" si="10"/>
        <v>2.3790346883201561E-2</v>
      </c>
      <c r="J46" s="349">
        <f t="shared" si="11"/>
        <v>434.20000000000005</v>
      </c>
      <c r="K46" s="365">
        <f t="shared" si="12"/>
        <v>0</v>
      </c>
      <c r="L46" s="351">
        <f t="shared" si="13"/>
        <v>9557.2000000000007</v>
      </c>
      <c r="M46" s="343">
        <f t="shared" si="14"/>
        <v>4.7593993203989993E-2</v>
      </c>
    </row>
    <row r="47" spans="1:20" s="371" customFormat="1" ht="13.5" thickBot="1" x14ac:dyDescent="0.25">
      <c r="A47" s="366" t="s">
        <v>263</v>
      </c>
      <c r="B47" s="367">
        <f t="shared" ref="B47:K47" si="15">SUM(B40:B46)</f>
        <v>79632</v>
      </c>
      <c r="C47" s="368">
        <f t="shared" si="15"/>
        <v>10512</v>
      </c>
      <c r="D47" s="369">
        <f t="shared" si="15"/>
        <v>11377</v>
      </c>
      <c r="E47" s="369">
        <f t="shared" si="15"/>
        <v>20103</v>
      </c>
      <c r="F47" s="369">
        <f t="shared" si="15"/>
        <v>14062</v>
      </c>
      <c r="G47" s="368">
        <f t="shared" si="15"/>
        <v>1675</v>
      </c>
      <c r="H47" s="369">
        <f t="shared" si="15"/>
        <v>43867</v>
      </c>
      <c r="I47" s="370">
        <f t="shared" si="15"/>
        <v>0.2403526362794571</v>
      </c>
      <c r="J47" s="367">
        <f t="shared" si="15"/>
        <v>4386.7</v>
      </c>
      <c r="K47" s="368">
        <f t="shared" si="15"/>
        <v>7884</v>
      </c>
      <c r="L47" s="388">
        <f>SUM(L40:L46)</f>
        <v>81390.7</v>
      </c>
      <c r="M47" s="343">
        <f t="shared" si="14"/>
        <v>2.2085342575848869E-2</v>
      </c>
    </row>
    <row r="48" spans="1:20" s="371" customFormat="1" ht="13.5" thickBot="1" x14ac:dyDescent="0.25">
      <c r="A48" s="389" t="s">
        <v>264</v>
      </c>
      <c r="B48" s="390">
        <f t="shared" ref="B48:L48" si="16">B37+B47</f>
        <v>250446</v>
      </c>
      <c r="C48" s="391">
        <f t="shared" si="16"/>
        <v>28282</v>
      </c>
      <c r="D48" s="392">
        <f t="shared" si="16"/>
        <v>45757</v>
      </c>
      <c r="E48" s="392">
        <f t="shared" si="16"/>
        <v>77931</v>
      </c>
      <c r="F48" s="392">
        <f t="shared" si="16"/>
        <v>64853</v>
      </c>
      <c r="G48" s="391">
        <f>G37+G47</f>
        <v>6030</v>
      </c>
      <c r="H48" s="392">
        <f t="shared" si="16"/>
        <v>182511</v>
      </c>
      <c r="I48" s="393">
        <f t="shared" si="16"/>
        <v>0.99999999999999978</v>
      </c>
      <c r="J48" s="367">
        <f t="shared" si="16"/>
        <v>18251.100000000002</v>
      </c>
      <c r="K48" s="368">
        <f t="shared" si="16"/>
        <v>21211.5</v>
      </c>
      <c r="L48" s="367">
        <f t="shared" si="16"/>
        <v>261626.59999999998</v>
      </c>
      <c r="M48" s="343">
        <f t="shared" si="14"/>
        <v>4.464275732093935E-2</v>
      </c>
    </row>
    <row r="49" spans="1:12" ht="13.5" hidden="1" thickBot="1" x14ac:dyDescent="0.25">
      <c r="A49" s="394" t="s">
        <v>265</v>
      </c>
      <c r="B49" s="395"/>
      <c r="C49" s="396"/>
      <c r="D49" s="397"/>
      <c r="E49" s="397"/>
      <c r="F49" s="397"/>
      <c r="G49" s="397"/>
      <c r="H49" s="397"/>
      <c r="I49" s="398"/>
      <c r="J49" s="399"/>
      <c r="K49" s="400"/>
    </row>
    <row r="51" spans="1:12" x14ac:dyDescent="0.2">
      <c r="A51" s="16" t="s">
        <v>330</v>
      </c>
    </row>
    <row r="52" spans="1:12" x14ac:dyDescent="0.2">
      <c r="A52" s="129"/>
      <c r="L52" s="402"/>
    </row>
  </sheetData>
  <mergeCells count="2">
    <mergeCell ref="A1:I1"/>
    <mergeCell ref="A3:I3"/>
  </mergeCells>
  <pageMargins left="0.7" right="0.7" top="0.75" bottom="0.75" header="0.3" footer="0.3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249977111117893"/>
  </sheetPr>
  <dimension ref="A1:L47"/>
  <sheetViews>
    <sheetView topLeftCell="A10" zoomScale="80" workbookViewId="0">
      <selection activeCell="A44" sqref="A44"/>
    </sheetView>
  </sheetViews>
  <sheetFormatPr defaultRowHeight="15" customHeight="1" x14ac:dyDescent="0.2"/>
  <cols>
    <col min="1" max="1" width="7.28515625" style="54" customWidth="1"/>
    <col min="2" max="2" width="30.28515625" style="54" customWidth="1"/>
    <col min="3" max="3" width="10.85546875" style="54" customWidth="1"/>
    <col min="4" max="4" width="12.85546875" style="54" customWidth="1"/>
    <col min="5" max="5" width="10.7109375" style="54" customWidth="1"/>
    <col min="6" max="6" width="12.85546875" style="54" customWidth="1"/>
    <col min="7" max="7" width="14.140625" style="54" customWidth="1"/>
    <col min="8" max="8" width="14.7109375" style="107" customWidth="1"/>
    <col min="9" max="9" width="9.140625" style="54"/>
    <col min="10" max="12" width="0" style="54" hidden="1" customWidth="1"/>
    <col min="13" max="16384" width="9.140625" style="54"/>
  </cols>
  <sheetData>
    <row r="1" spans="1:12" ht="15" customHeight="1" x14ac:dyDescent="0.25">
      <c r="A1" s="106" t="s">
        <v>267</v>
      </c>
      <c r="G1" s="106"/>
      <c r="H1" s="484" t="s">
        <v>322</v>
      </c>
    </row>
    <row r="2" spans="1:12" ht="15" customHeight="1" x14ac:dyDescent="0.2">
      <c r="A2" s="108" t="s">
        <v>109</v>
      </c>
      <c r="G2" s="108"/>
    </row>
    <row r="3" spans="1:12" ht="15" customHeight="1" x14ac:dyDescent="0.2">
      <c r="A3" s="87" t="s">
        <v>303</v>
      </c>
      <c r="G3" s="109"/>
    </row>
    <row r="4" spans="1:12" ht="12.75" x14ac:dyDescent="0.2">
      <c r="A4" s="58"/>
      <c r="B4" s="58"/>
      <c r="C4" s="58"/>
      <c r="D4" s="91"/>
      <c r="E4" s="91"/>
      <c r="F4" s="91"/>
      <c r="G4" s="110"/>
      <c r="H4" s="111"/>
    </row>
    <row r="5" spans="1:12" ht="34.5" customHeight="1" x14ac:dyDescent="0.2">
      <c r="A5" s="112"/>
      <c r="B5" s="113"/>
      <c r="C5" s="198"/>
      <c r="D5" s="506" t="s">
        <v>110</v>
      </c>
      <c r="E5" s="506" t="s">
        <v>111</v>
      </c>
      <c r="F5" s="503" t="s">
        <v>112</v>
      </c>
      <c r="G5" s="506" t="s">
        <v>124</v>
      </c>
      <c r="H5" s="506" t="s">
        <v>66</v>
      </c>
    </row>
    <row r="6" spans="1:12" ht="15.75" customHeight="1" x14ac:dyDescent="0.2">
      <c r="A6" s="114"/>
      <c r="B6" s="114"/>
      <c r="C6" s="199" t="s">
        <v>304</v>
      </c>
      <c r="D6" s="506"/>
      <c r="E6" s="506"/>
      <c r="F6" s="504"/>
      <c r="G6" s="507"/>
      <c r="H6" s="508"/>
    </row>
    <row r="7" spans="1:12" ht="15.75" customHeight="1" x14ac:dyDescent="0.2">
      <c r="A7" s="115" t="s">
        <v>0</v>
      </c>
      <c r="B7" s="115" t="s">
        <v>85</v>
      </c>
      <c r="C7" s="115" t="s">
        <v>113</v>
      </c>
      <c r="D7" s="97">
        <f>1.8+1.47</f>
        <v>3.27</v>
      </c>
      <c r="E7" s="100">
        <v>50000</v>
      </c>
      <c r="F7" s="505"/>
      <c r="G7" s="507"/>
      <c r="H7" s="509"/>
    </row>
    <row r="8" spans="1:12" s="58" customFormat="1" ht="15" customHeight="1" x14ac:dyDescent="0.2">
      <c r="B8" s="91"/>
      <c r="C8" s="91"/>
      <c r="D8" s="98"/>
      <c r="E8" s="101"/>
      <c r="F8" s="116"/>
      <c r="G8" s="117"/>
      <c r="H8" s="118"/>
      <c r="L8" s="58">
        <f>G8-I8</f>
        <v>0</v>
      </c>
    </row>
    <row r="9" spans="1:12" ht="15" customHeight="1" x14ac:dyDescent="0.2">
      <c r="A9" s="10" t="s">
        <v>2</v>
      </c>
      <c r="B9" s="121" t="s">
        <v>133</v>
      </c>
      <c r="C9" s="93">
        <v>494320</v>
      </c>
      <c r="D9" s="96">
        <f t="shared" ref="D9:D38" si="0">C9*$D$7</f>
        <v>1616426.4</v>
      </c>
      <c r="E9" s="96"/>
      <c r="F9" s="96">
        <f>D9+E9</f>
        <v>1616426.4</v>
      </c>
      <c r="G9" s="119">
        <f>'Revenue Offset'!G8</f>
        <v>0.47637790363380472</v>
      </c>
      <c r="H9" s="120">
        <f t="shared" ref="H9:H38" si="1">F9*(1-G9)</f>
        <v>846396.58018966205</v>
      </c>
      <c r="J9" s="204"/>
    </row>
    <row r="10" spans="1:12" ht="15" customHeight="1" x14ac:dyDescent="0.2">
      <c r="A10" s="10" t="s">
        <v>4</v>
      </c>
      <c r="B10" s="121" t="s">
        <v>129</v>
      </c>
      <c r="C10" s="93">
        <f>323839+113712+419337</f>
        <v>856888</v>
      </c>
      <c r="D10" s="96">
        <f t="shared" si="0"/>
        <v>2802023.7600000002</v>
      </c>
      <c r="E10" s="96">
        <v>100000</v>
      </c>
      <c r="F10" s="96">
        <f t="shared" ref="F10:F38" si="2">D10+E10</f>
        <v>2902023.7600000002</v>
      </c>
      <c r="G10" s="119">
        <f>'Revenue Offset'!G9</f>
        <v>0.54279634039250968</v>
      </c>
      <c r="H10" s="120">
        <f t="shared" si="1"/>
        <v>1326815.8833398893</v>
      </c>
      <c r="J10" s="204"/>
    </row>
    <row r="11" spans="1:12" ht="15" customHeight="1" x14ac:dyDescent="0.2">
      <c r="A11" s="10" t="s">
        <v>5</v>
      </c>
      <c r="B11" s="121" t="s">
        <v>118</v>
      </c>
      <c r="C11" s="93">
        <f>925103+97053</f>
        <v>1022156</v>
      </c>
      <c r="D11" s="96">
        <f t="shared" si="0"/>
        <v>3342450.12</v>
      </c>
      <c r="E11" s="96">
        <v>50000</v>
      </c>
      <c r="F11" s="96">
        <f t="shared" si="2"/>
        <v>3392450.12</v>
      </c>
      <c r="G11" s="119">
        <f>'Revenue Offset'!G10</f>
        <v>0.6243351814828747</v>
      </c>
      <c r="H11" s="120">
        <f t="shared" si="1"/>
        <v>1274424.1586581999</v>
      </c>
      <c r="J11" s="204"/>
    </row>
    <row r="12" spans="1:12" ht="15" customHeight="1" x14ac:dyDescent="0.2">
      <c r="A12" s="10" t="s">
        <v>6</v>
      </c>
      <c r="B12" s="121" t="s">
        <v>7</v>
      </c>
      <c r="C12" s="93">
        <f>358949+263210</f>
        <v>622159</v>
      </c>
      <c r="D12" s="96">
        <f t="shared" si="0"/>
        <v>2034459.93</v>
      </c>
      <c r="E12" s="96">
        <v>50000</v>
      </c>
      <c r="F12" s="96">
        <f t="shared" si="2"/>
        <v>2084459.93</v>
      </c>
      <c r="G12" s="119">
        <f>'Revenue Offset'!G11</f>
        <v>0.45306481524775344</v>
      </c>
      <c r="H12" s="120">
        <f t="shared" si="1"/>
        <v>1140064.476923205</v>
      </c>
      <c r="J12" s="204"/>
    </row>
    <row r="13" spans="1:12" ht="17.25" customHeight="1" x14ac:dyDescent="0.2">
      <c r="A13" s="10" t="s">
        <v>8</v>
      </c>
      <c r="B13" s="121" t="s">
        <v>9</v>
      </c>
      <c r="C13" s="93">
        <v>739917</v>
      </c>
      <c r="D13" s="96">
        <f t="shared" si="0"/>
        <v>2419528.59</v>
      </c>
      <c r="E13" s="96"/>
      <c r="F13" s="96">
        <f t="shared" si="2"/>
        <v>2419528.59</v>
      </c>
      <c r="G13" s="119">
        <f>'Revenue Offset'!G12</f>
        <v>0.54269310141843952</v>
      </c>
      <c r="H13" s="120">
        <f t="shared" si="1"/>
        <v>1106467.115522316</v>
      </c>
      <c r="J13" s="204"/>
    </row>
    <row r="14" spans="1:12" ht="15" customHeight="1" x14ac:dyDescent="0.2">
      <c r="A14" s="10" t="s">
        <v>10</v>
      </c>
      <c r="B14" s="121" t="s">
        <v>156</v>
      </c>
      <c r="C14" s="93">
        <f>539459+325845</f>
        <v>865304</v>
      </c>
      <c r="D14" s="96">
        <f t="shared" si="0"/>
        <v>2829544.08</v>
      </c>
      <c r="E14" s="96">
        <v>50000</v>
      </c>
      <c r="F14" s="96">
        <f t="shared" si="2"/>
        <v>2879544.08</v>
      </c>
      <c r="G14" s="119">
        <f>'Revenue Offset'!G13</f>
        <v>0.51561172547460099</v>
      </c>
      <c r="H14" s="120">
        <f t="shared" si="1"/>
        <v>1394817.3883310275</v>
      </c>
      <c r="J14" s="204"/>
    </row>
    <row r="15" spans="1:12" ht="15" customHeight="1" x14ac:dyDescent="0.2">
      <c r="A15" s="10" t="s">
        <v>12</v>
      </c>
      <c r="B15" s="121" t="s">
        <v>13</v>
      </c>
      <c r="C15" s="93">
        <v>161222</v>
      </c>
      <c r="D15" s="96">
        <f t="shared" si="0"/>
        <v>527195.94000000006</v>
      </c>
      <c r="E15" s="96"/>
      <c r="F15" s="96">
        <f t="shared" si="2"/>
        <v>527195.94000000006</v>
      </c>
      <c r="G15" s="119">
        <f>'Revenue Offset'!G14</f>
        <v>0.42408712951772581</v>
      </c>
      <c r="H15" s="120">
        <f t="shared" si="1"/>
        <v>303618.92711200088</v>
      </c>
      <c r="J15" s="204"/>
    </row>
    <row r="16" spans="1:12" ht="15" customHeight="1" x14ac:dyDescent="0.2">
      <c r="A16" s="10" t="s">
        <v>14</v>
      </c>
      <c r="B16" s="121" t="s">
        <v>145</v>
      </c>
      <c r="C16" s="93">
        <f>498704+415217</f>
        <v>913921</v>
      </c>
      <c r="D16" s="96">
        <f t="shared" si="0"/>
        <v>2988521.67</v>
      </c>
      <c r="E16" s="96">
        <v>50000</v>
      </c>
      <c r="F16" s="96">
        <f t="shared" si="2"/>
        <v>3038521.67</v>
      </c>
      <c r="G16" s="119">
        <f>'Revenue Offset'!G15</f>
        <v>0.45324969293165529</v>
      </c>
      <c r="H16" s="120">
        <f t="shared" si="1"/>
        <v>1661312.6561063195</v>
      </c>
      <c r="J16" s="204"/>
    </row>
    <row r="17" spans="1:10" ht="15" customHeight="1" x14ac:dyDescent="0.2">
      <c r="A17" s="10" t="s">
        <v>16</v>
      </c>
      <c r="B17" s="121" t="s">
        <v>17</v>
      </c>
      <c r="C17" s="93">
        <v>399066</v>
      </c>
      <c r="D17" s="96">
        <f t="shared" si="0"/>
        <v>1304945.82</v>
      </c>
      <c r="E17" s="96"/>
      <c r="F17" s="96">
        <f t="shared" si="2"/>
        <v>1304945.82</v>
      </c>
      <c r="G17" s="119">
        <f>'Revenue Offset'!G16</f>
        <v>0.49705898124292108</v>
      </c>
      <c r="H17" s="120">
        <f t="shared" si="1"/>
        <v>656310.78013359173</v>
      </c>
      <c r="J17" s="204"/>
    </row>
    <row r="18" spans="1:10" ht="15" customHeight="1" x14ac:dyDescent="0.2">
      <c r="A18" s="10" t="s">
        <v>18</v>
      </c>
      <c r="B18" s="121" t="s">
        <v>146</v>
      </c>
      <c r="C18" s="93">
        <v>383563</v>
      </c>
      <c r="D18" s="96">
        <f t="shared" si="0"/>
        <v>1254251.01</v>
      </c>
      <c r="E18" s="96"/>
      <c r="F18" s="96">
        <f t="shared" si="2"/>
        <v>1254251.01</v>
      </c>
      <c r="G18" s="119">
        <f>'Revenue Offset'!G17</f>
        <v>0.62684270913299178</v>
      </c>
      <c r="H18" s="120">
        <f t="shared" si="1"/>
        <v>468032.90895880881</v>
      </c>
      <c r="J18" s="204"/>
    </row>
    <row r="19" spans="1:10" ht="15" customHeight="1" x14ac:dyDescent="0.2">
      <c r="A19" s="10" t="s">
        <v>19</v>
      </c>
      <c r="B19" s="121" t="s">
        <v>134</v>
      </c>
      <c r="C19" s="93">
        <v>1005856</v>
      </c>
      <c r="D19" s="96">
        <f t="shared" si="0"/>
        <v>3289149.12</v>
      </c>
      <c r="E19" s="96"/>
      <c r="F19" s="96">
        <f t="shared" si="2"/>
        <v>3289149.12</v>
      </c>
      <c r="G19" s="119">
        <f>'Revenue Offset'!G18</f>
        <v>0.51006553977406088</v>
      </c>
      <c r="H19" s="120">
        <f t="shared" si="1"/>
        <v>1611467.4987098228</v>
      </c>
      <c r="J19" s="204"/>
    </row>
    <row r="20" spans="1:10" ht="15" customHeight="1" x14ac:dyDescent="0.2">
      <c r="A20" s="10" t="s">
        <v>21</v>
      </c>
      <c r="B20" s="121" t="s">
        <v>188</v>
      </c>
      <c r="C20" s="93">
        <f>100743+183316</f>
        <v>284059</v>
      </c>
      <c r="D20" s="96">
        <f t="shared" si="0"/>
        <v>928872.93</v>
      </c>
      <c r="E20" s="96">
        <v>50000</v>
      </c>
      <c r="F20" s="96">
        <f t="shared" si="2"/>
        <v>978872.93</v>
      </c>
      <c r="G20" s="119">
        <f>'Revenue Offset'!G19</f>
        <v>0.44431114194542998</v>
      </c>
      <c r="H20" s="120">
        <f t="shared" si="1"/>
        <v>543948.78065223107</v>
      </c>
      <c r="J20" s="204"/>
    </row>
    <row r="21" spans="1:10" ht="15" customHeight="1" x14ac:dyDescent="0.2">
      <c r="A21" s="37" t="s">
        <v>114</v>
      </c>
      <c r="B21" s="121" t="s">
        <v>147</v>
      </c>
      <c r="C21" s="93">
        <f>196824+165849+231919+131436</f>
        <v>726028</v>
      </c>
      <c r="D21" s="96">
        <f t="shared" si="0"/>
        <v>2374111.56</v>
      </c>
      <c r="E21" s="96">
        <v>150000</v>
      </c>
      <c r="F21" s="96">
        <f t="shared" si="2"/>
        <v>2524111.56</v>
      </c>
      <c r="G21" s="119">
        <f>'Revenue Offset'!G20</f>
        <v>0.5039903086783919</v>
      </c>
      <c r="H21" s="120">
        <f t="shared" si="1"/>
        <v>1251983.7957369026</v>
      </c>
      <c r="J21" s="204"/>
    </row>
    <row r="22" spans="1:10" ht="15" customHeight="1" x14ac:dyDescent="0.2">
      <c r="A22" s="10" t="s">
        <v>26</v>
      </c>
      <c r="B22" s="121" t="s">
        <v>62</v>
      </c>
      <c r="C22" s="93">
        <v>1154542</v>
      </c>
      <c r="D22" s="96">
        <f t="shared" si="0"/>
        <v>3775352.34</v>
      </c>
      <c r="E22" s="96"/>
      <c r="F22" s="96">
        <f t="shared" si="2"/>
        <v>3775352.34</v>
      </c>
      <c r="G22" s="119">
        <f>'Revenue Offset'!G21</f>
        <v>0.58704406864030156</v>
      </c>
      <c r="H22" s="120">
        <f t="shared" si="1"/>
        <v>1559054.1417757168</v>
      </c>
      <c r="J22" s="204"/>
    </row>
    <row r="23" spans="1:10" ht="15" customHeight="1" x14ac:dyDescent="0.2">
      <c r="A23" s="10" t="s">
        <v>22</v>
      </c>
      <c r="B23" s="121" t="s">
        <v>23</v>
      </c>
      <c r="C23" s="200">
        <v>1809355</v>
      </c>
      <c r="D23" s="96">
        <f t="shared" si="0"/>
        <v>5916590.8499999996</v>
      </c>
      <c r="E23" s="96"/>
      <c r="F23" s="96">
        <f t="shared" si="2"/>
        <v>5916590.8499999996</v>
      </c>
      <c r="G23" s="119">
        <f>'Revenue Offset'!G22</f>
        <v>0.65546373065460628</v>
      </c>
      <c r="H23" s="120">
        <f t="shared" si="1"/>
        <v>2038480.1387020918</v>
      </c>
      <c r="J23" s="204"/>
    </row>
    <row r="24" spans="1:10" ht="15" customHeight="1" x14ac:dyDescent="0.2">
      <c r="A24" s="10" t="s">
        <v>24</v>
      </c>
      <c r="B24" s="121" t="s">
        <v>143</v>
      </c>
      <c r="C24" s="93">
        <f>82213+77187+92340+95732+169017</f>
        <v>516489</v>
      </c>
      <c r="D24" s="96">
        <f t="shared" si="0"/>
        <v>1688919.03</v>
      </c>
      <c r="E24" s="96">
        <v>200000</v>
      </c>
      <c r="F24" s="96">
        <f t="shared" si="2"/>
        <v>1888919.03</v>
      </c>
      <c r="G24" s="119">
        <f>'Revenue Offset'!G23</f>
        <v>0.46995016730102229</v>
      </c>
      <c r="H24" s="120">
        <f t="shared" si="1"/>
        <v>1001221.2158334154</v>
      </c>
      <c r="J24" s="204"/>
    </row>
    <row r="25" spans="1:10" ht="15" customHeight="1" x14ac:dyDescent="0.2">
      <c r="A25" s="10" t="s">
        <v>27</v>
      </c>
      <c r="B25" s="121" t="s">
        <v>137</v>
      </c>
      <c r="C25" s="93">
        <v>566197</v>
      </c>
      <c r="D25" s="96">
        <f t="shared" si="0"/>
        <v>1851464.19</v>
      </c>
      <c r="E25" s="96"/>
      <c r="F25" s="96">
        <f t="shared" si="2"/>
        <v>1851464.19</v>
      </c>
      <c r="G25" s="119">
        <f>'Revenue Offset'!G24</f>
        <v>0.60377951932445695</v>
      </c>
      <c r="H25" s="120">
        <f t="shared" si="1"/>
        <v>733588.03131535498</v>
      </c>
      <c r="J25" s="204"/>
    </row>
    <row r="26" spans="1:10" ht="15" customHeight="1" x14ac:dyDescent="0.2">
      <c r="A26" s="10" t="s">
        <v>29</v>
      </c>
      <c r="B26" s="121" t="s">
        <v>138</v>
      </c>
      <c r="C26" s="93">
        <v>490064</v>
      </c>
      <c r="D26" s="96">
        <f t="shared" si="0"/>
        <v>1602509.28</v>
      </c>
      <c r="E26" s="96"/>
      <c r="F26" s="96">
        <f t="shared" si="2"/>
        <v>1602509.28</v>
      </c>
      <c r="G26" s="119">
        <f>'Revenue Offset'!G25</f>
        <v>0.55876878580612266</v>
      </c>
      <c r="H26" s="120">
        <f t="shared" si="1"/>
        <v>707077.11537135614</v>
      </c>
      <c r="J26" s="204"/>
    </row>
    <row r="27" spans="1:10" ht="15" customHeight="1" x14ac:dyDescent="0.2">
      <c r="A27" s="37" t="s">
        <v>123</v>
      </c>
      <c r="B27" s="121" t="s">
        <v>63</v>
      </c>
      <c r="C27" s="201">
        <f>325314+188416+97173+132211+96361+124080</f>
        <v>963555</v>
      </c>
      <c r="D27" s="96">
        <f t="shared" si="0"/>
        <v>3150824.85</v>
      </c>
      <c r="E27" s="96">
        <v>250000</v>
      </c>
      <c r="F27" s="96">
        <f>D27+E27</f>
        <v>3400824.85</v>
      </c>
      <c r="G27" s="119">
        <f>'Revenue Offset'!G26</f>
        <v>0.46559118219121093</v>
      </c>
      <c r="H27" s="120">
        <f t="shared" si="1"/>
        <v>1817430.7876632526</v>
      </c>
      <c r="J27" s="204"/>
    </row>
    <row r="28" spans="1:10" ht="15" customHeight="1" x14ac:dyDescent="0.2">
      <c r="A28" s="10" t="s">
        <v>31</v>
      </c>
      <c r="B28" s="121" t="s">
        <v>139</v>
      </c>
      <c r="C28" s="93">
        <f>171244+320041</f>
        <v>491285</v>
      </c>
      <c r="D28" s="96">
        <f t="shared" si="0"/>
        <v>1606501.95</v>
      </c>
      <c r="E28" s="96">
        <v>50000</v>
      </c>
      <c r="F28" s="96">
        <f t="shared" si="2"/>
        <v>1656501.95</v>
      </c>
      <c r="G28" s="119">
        <f>'Revenue Offset'!G27</f>
        <v>0.47714027146384802</v>
      </c>
      <c r="H28" s="120">
        <f t="shared" si="1"/>
        <v>866118.15989660646</v>
      </c>
      <c r="J28" s="204"/>
    </row>
    <row r="29" spans="1:10" ht="15" customHeight="1" x14ac:dyDescent="0.2">
      <c r="A29" s="10" t="s">
        <v>33</v>
      </c>
      <c r="B29" s="121" t="s">
        <v>135</v>
      </c>
      <c r="C29" s="93">
        <v>112270</v>
      </c>
      <c r="D29" s="96">
        <f t="shared" si="0"/>
        <v>367122.9</v>
      </c>
      <c r="E29" s="96"/>
      <c r="F29" s="96">
        <f t="shared" si="2"/>
        <v>367122.9</v>
      </c>
      <c r="G29" s="119">
        <f>'Revenue Offset'!G28</f>
        <v>0.41314995529542081</v>
      </c>
      <c r="H29" s="120">
        <f t="shared" si="1"/>
        <v>215446.09027707478</v>
      </c>
      <c r="J29" s="204"/>
    </row>
    <row r="30" spans="1:10" ht="15" customHeight="1" x14ac:dyDescent="0.2">
      <c r="A30" s="10" t="s">
        <v>35</v>
      </c>
      <c r="B30" s="121" t="s">
        <v>36</v>
      </c>
      <c r="C30" s="93">
        <f>195906+476819</f>
        <v>672725</v>
      </c>
      <c r="D30" s="96">
        <f t="shared" si="0"/>
        <v>2199810.75</v>
      </c>
      <c r="E30" s="96">
        <v>50000</v>
      </c>
      <c r="F30" s="96">
        <f t="shared" si="2"/>
        <v>2249810.75</v>
      </c>
      <c r="G30" s="119">
        <f>'Revenue Offset'!G29</f>
        <v>0.48426000157658866</v>
      </c>
      <c r="H30" s="120">
        <f t="shared" si="1"/>
        <v>1160317.3926579738</v>
      </c>
      <c r="J30" s="204"/>
    </row>
    <row r="31" spans="1:10" ht="15" customHeight="1" x14ac:dyDescent="0.2">
      <c r="A31" s="10" t="s">
        <v>37</v>
      </c>
      <c r="B31" s="121" t="s">
        <v>136</v>
      </c>
      <c r="C31" s="93">
        <f>138322+361379+27571</f>
        <v>527272</v>
      </c>
      <c r="D31" s="96">
        <f t="shared" si="0"/>
        <v>1724179.44</v>
      </c>
      <c r="E31" s="96">
        <v>100000</v>
      </c>
      <c r="F31" s="96">
        <f t="shared" si="2"/>
        <v>1824179.44</v>
      </c>
      <c r="G31" s="119">
        <f>'Revenue Offset'!G30</f>
        <v>0.48594140940697578</v>
      </c>
      <c r="H31" s="120">
        <f t="shared" si="1"/>
        <v>937735.11191517208</v>
      </c>
      <c r="J31" s="204"/>
    </row>
    <row r="32" spans="1:10" ht="15" customHeight="1" x14ac:dyDescent="0.2">
      <c r="A32" s="10" t="s">
        <v>39</v>
      </c>
      <c r="B32" s="121" t="s">
        <v>140</v>
      </c>
      <c r="C32" s="93">
        <v>855203</v>
      </c>
      <c r="D32" s="96">
        <f t="shared" si="0"/>
        <v>2796513.81</v>
      </c>
      <c r="E32" s="96"/>
      <c r="F32" s="96">
        <f t="shared" si="2"/>
        <v>2796513.81</v>
      </c>
      <c r="G32" s="119">
        <f>'Revenue Offset'!G31</f>
        <v>0.56211497759633056</v>
      </c>
      <c r="H32" s="120">
        <f t="shared" si="1"/>
        <v>1224551.5123440211</v>
      </c>
      <c r="J32" s="204"/>
    </row>
    <row r="33" spans="1:10" ht="15" customHeight="1" x14ac:dyDescent="0.2">
      <c r="A33" s="10" t="s">
        <v>46</v>
      </c>
      <c r="B33" s="121" t="s">
        <v>70</v>
      </c>
      <c r="C33" s="93">
        <v>557150</v>
      </c>
      <c r="D33" s="96">
        <f t="shared" si="0"/>
        <v>1821880.5</v>
      </c>
      <c r="E33" s="96"/>
      <c r="F33" s="96">
        <f t="shared" si="2"/>
        <v>1821880.5</v>
      </c>
      <c r="G33" s="119">
        <f>'Revenue Offset'!G32</f>
        <v>0.57477787892645948</v>
      </c>
      <c r="H33" s="120">
        <f t="shared" si="1"/>
        <v>774703.8905525225</v>
      </c>
      <c r="J33" s="204"/>
    </row>
    <row r="34" spans="1:10" ht="15" customHeight="1" x14ac:dyDescent="0.2">
      <c r="A34" s="10" t="s">
        <v>41</v>
      </c>
      <c r="B34" s="121" t="s">
        <v>122</v>
      </c>
      <c r="C34" s="93">
        <f>110367+302745</f>
        <v>413112</v>
      </c>
      <c r="D34" s="96">
        <f t="shared" si="0"/>
        <v>1350876.24</v>
      </c>
      <c r="E34" s="96">
        <v>50000</v>
      </c>
      <c r="F34" s="96">
        <f t="shared" si="2"/>
        <v>1400876.24</v>
      </c>
      <c r="G34" s="119">
        <f>'Revenue Offset'!G33</f>
        <v>0.46865714149555238</v>
      </c>
      <c r="H34" s="120">
        <f t="shared" si="1"/>
        <v>744345.58577256266</v>
      </c>
      <c r="J34" s="204"/>
    </row>
    <row r="35" spans="1:10" ht="15" customHeight="1" x14ac:dyDescent="0.2">
      <c r="A35" s="10" t="s">
        <v>42</v>
      </c>
      <c r="B35" s="121" t="s">
        <v>69</v>
      </c>
      <c r="C35" s="93">
        <v>801231</v>
      </c>
      <c r="D35" s="96">
        <f t="shared" si="0"/>
        <v>2620025.37</v>
      </c>
      <c r="E35" s="96"/>
      <c r="F35" s="96">
        <f t="shared" si="2"/>
        <v>2620025.37</v>
      </c>
      <c r="G35" s="119">
        <f>'Revenue Offset'!G34</f>
        <v>0.55660120522880552</v>
      </c>
      <c r="H35" s="120">
        <f t="shared" si="1"/>
        <v>1161716.0913279529</v>
      </c>
      <c r="J35" s="204"/>
    </row>
    <row r="36" spans="1:10" ht="15" customHeight="1" x14ac:dyDescent="0.2">
      <c r="A36" s="10" t="s">
        <v>43</v>
      </c>
      <c r="B36" s="121" t="s">
        <v>44</v>
      </c>
      <c r="C36" s="93">
        <v>2042214</v>
      </c>
      <c r="D36" s="96">
        <f t="shared" si="0"/>
        <v>6678039.7800000003</v>
      </c>
      <c r="E36" s="96"/>
      <c r="F36" s="96">
        <f t="shared" si="2"/>
        <v>6678039.7800000003</v>
      </c>
      <c r="G36" s="119">
        <f>'Revenue Offset'!G35</f>
        <v>0.59073198573656738</v>
      </c>
      <c r="H36" s="120">
        <f t="shared" si="1"/>
        <v>2733108.0799328107</v>
      </c>
      <c r="J36" s="204"/>
    </row>
    <row r="37" spans="1:10" ht="15" customHeight="1" x14ac:dyDescent="0.2">
      <c r="A37" s="10" t="s">
        <v>45</v>
      </c>
      <c r="B37" s="121" t="s">
        <v>141</v>
      </c>
      <c r="C37" s="93">
        <v>502694</v>
      </c>
      <c r="D37" s="96">
        <f t="shared" si="0"/>
        <v>1643809.3800000001</v>
      </c>
      <c r="E37" s="96"/>
      <c r="F37" s="96">
        <f t="shared" si="2"/>
        <v>1643809.3800000001</v>
      </c>
      <c r="G37" s="119">
        <f>'Revenue Offset'!G36</f>
        <v>0.54922558903724827</v>
      </c>
      <c r="H37" s="120">
        <f t="shared" si="1"/>
        <v>740987.20500454621</v>
      </c>
      <c r="J37" s="204"/>
    </row>
    <row r="38" spans="1:10" ht="15" customHeight="1" x14ac:dyDescent="0.2">
      <c r="A38" s="10" t="s">
        <v>47</v>
      </c>
      <c r="B38" s="121" t="s">
        <v>48</v>
      </c>
      <c r="C38" s="93">
        <v>1284478</v>
      </c>
      <c r="D38" s="96">
        <f t="shared" si="0"/>
        <v>4200243.0599999996</v>
      </c>
      <c r="E38" s="96"/>
      <c r="F38" s="96">
        <f t="shared" si="2"/>
        <v>4200243.0599999996</v>
      </c>
      <c r="G38" s="119">
        <f>'Revenue Offset'!G37</f>
        <v>0.61802758270138181</v>
      </c>
      <c r="H38" s="120">
        <f t="shared" si="1"/>
        <v>1604376.9948699449</v>
      </c>
      <c r="J38" s="204"/>
    </row>
    <row r="39" spans="1:10" s="58" customFormat="1" ht="15" customHeight="1" x14ac:dyDescent="0.2">
      <c r="A39" s="122"/>
      <c r="B39" s="123"/>
      <c r="C39" s="202"/>
      <c r="D39" s="99"/>
      <c r="E39" s="95"/>
      <c r="F39" s="99"/>
      <c r="H39" s="124"/>
      <c r="I39" s="414"/>
    </row>
    <row r="40" spans="1:10" s="125" customFormat="1" ht="15" customHeight="1" x14ac:dyDescent="0.2">
      <c r="B40" s="126" t="s">
        <v>49</v>
      </c>
      <c r="C40" s="94">
        <f>SUM(C9:C38)</f>
        <v>22234295</v>
      </c>
      <c r="D40" s="94">
        <f>SUM(D9:D38)</f>
        <v>72706144.650000006</v>
      </c>
      <c r="E40" s="94">
        <f>SUM(E9:E38)</f>
        <v>1200000</v>
      </c>
      <c r="F40" s="94">
        <f>SUM(F9:F38)</f>
        <v>73906144.650000006</v>
      </c>
      <c r="G40" s="127">
        <f>'Revenue Offset'!G39</f>
        <v>0.56169765153175266</v>
      </c>
      <c r="H40" s="94">
        <f>SUM(H9:H38)</f>
        <v>33605918.495586351</v>
      </c>
    </row>
    <row r="42" spans="1:10" ht="12" customHeight="1" x14ac:dyDescent="0.2">
      <c r="B42" s="128"/>
    </row>
    <row r="43" spans="1:10" ht="12" customHeight="1" x14ac:dyDescent="0.2">
      <c r="A43" s="129"/>
    </row>
    <row r="44" spans="1:10" ht="15" customHeight="1" x14ac:dyDescent="0.2">
      <c r="A44" s="16" t="s">
        <v>330</v>
      </c>
      <c r="B44" s="130"/>
    </row>
    <row r="45" spans="1:10" ht="15" customHeight="1" x14ac:dyDescent="0.2">
      <c r="A45" s="129" t="str">
        <f>'FY2015 Detail'!B40</f>
        <v>s:\finance\bargain\FY18 allocation\Summary of FY2019 Institutional Allocation Draft</v>
      </c>
      <c r="B45" s="130"/>
    </row>
    <row r="46" spans="1:10" ht="15" customHeight="1" x14ac:dyDescent="0.2">
      <c r="A46" s="129"/>
      <c r="B46" s="130"/>
    </row>
    <row r="47" spans="1:10" ht="15" customHeight="1" x14ac:dyDescent="0.2">
      <c r="C47" s="55"/>
      <c r="E47" s="96"/>
    </row>
  </sheetData>
  <mergeCells count="5">
    <mergeCell ref="F5:F7"/>
    <mergeCell ref="G5:G7"/>
    <mergeCell ref="H5:H7"/>
    <mergeCell ref="E5:E6"/>
    <mergeCell ref="D5:D6"/>
  </mergeCells>
  <phoneticPr fontId="11" type="noConversion"/>
  <pageMargins left="0.42" right="0.19" top="0.37" bottom="0.15" header="0.36" footer="0.16"/>
  <pageSetup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 tint="-0.499984740745262"/>
    <pageSetUpPr fitToPage="1"/>
  </sheetPr>
  <dimension ref="A1:L42"/>
  <sheetViews>
    <sheetView topLeftCell="A10" zoomScale="80" zoomScaleNormal="80" workbookViewId="0">
      <selection activeCell="A41" sqref="A41"/>
    </sheetView>
  </sheetViews>
  <sheetFormatPr defaultRowHeight="12.75" x14ac:dyDescent="0.2"/>
  <cols>
    <col min="1" max="1" width="6.85546875" customWidth="1"/>
    <col min="2" max="2" width="33.5703125" customWidth="1"/>
    <col min="3" max="3" width="16.7109375" customWidth="1"/>
    <col min="4" max="4" width="17.42578125" customWidth="1"/>
    <col min="5" max="5" width="13.140625" customWidth="1"/>
    <col min="10" max="12" width="0" hidden="1" customWidth="1"/>
  </cols>
  <sheetData>
    <row r="1" spans="1:12" ht="15" customHeight="1" x14ac:dyDescent="0.25">
      <c r="A1" s="36" t="s">
        <v>267</v>
      </c>
      <c r="E1" s="486" t="s">
        <v>323</v>
      </c>
    </row>
    <row r="2" spans="1:12" ht="15" customHeight="1" x14ac:dyDescent="0.2">
      <c r="A2" s="4" t="s">
        <v>189</v>
      </c>
    </row>
    <row r="3" spans="1:12" ht="15" customHeight="1" x14ac:dyDescent="0.2">
      <c r="A3" s="4" t="s">
        <v>314</v>
      </c>
    </row>
    <row r="4" spans="1:12" ht="15" customHeight="1" x14ac:dyDescent="0.2">
      <c r="C4" s="206" t="s">
        <v>81</v>
      </c>
      <c r="D4" s="206" t="s">
        <v>74</v>
      </c>
      <c r="E4" s="206" t="s">
        <v>75</v>
      </c>
    </row>
    <row r="5" spans="1:12" ht="61.5" customHeight="1" x14ac:dyDescent="0.2">
      <c r="A5" s="218" t="s">
        <v>0</v>
      </c>
      <c r="B5" s="219" t="s">
        <v>85</v>
      </c>
      <c r="C5" s="218" t="s">
        <v>190</v>
      </c>
      <c r="D5" s="31" t="s">
        <v>191</v>
      </c>
      <c r="E5" s="30" t="s">
        <v>157</v>
      </c>
    </row>
    <row r="6" spans="1:12" ht="15" customHeight="1" x14ac:dyDescent="0.2">
      <c r="B6" s="34"/>
      <c r="D6" s="11"/>
      <c r="L6">
        <f>G6-I6</f>
        <v>0</v>
      </c>
    </row>
    <row r="7" spans="1:12" ht="15" customHeight="1" x14ac:dyDescent="0.2">
      <c r="A7" s="221" t="s">
        <v>2</v>
      </c>
      <c r="B7" s="222" t="s">
        <v>133</v>
      </c>
      <c r="C7" s="223">
        <f>'3rd Term Expected'!J6</f>
        <v>120000</v>
      </c>
      <c r="D7" s="223">
        <f>'Improvement Allocation'!H6</f>
        <v>4000</v>
      </c>
      <c r="E7" s="223">
        <f>C7+D7</f>
        <v>124000</v>
      </c>
      <c r="G7" s="313"/>
    </row>
    <row r="8" spans="1:12" s="54" customFormat="1" ht="15" customHeight="1" x14ac:dyDescent="0.2">
      <c r="A8" s="221" t="s">
        <v>4</v>
      </c>
      <c r="B8" s="222" t="s">
        <v>129</v>
      </c>
      <c r="C8" s="225">
        <f>'3rd Term Expected'!J7+'3rd Term Expected'!J8</f>
        <v>0</v>
      </c>
      <c r="D8" s="226">
        <f>'Improvement Allocation'!H7+'Improvement Allocation'!H8</f>
        <v>20000</v>
      </c>
      <c r="E8" s="223">
        <f t="shared" ref="E8:E36" si="0">C8+D8</f>
        <v>20000</v>
      </c>
      <c r="G8" s="313"/>
    </row>
    <row r="9" spans="1:12" ht="15" customHeight="1" x14ac:dyDescent="0.2">
      <c r="A9" s="221" t="s">
        <v>5</v>
      </c>
      <c r="B9" s="222" t="s">
        <v>118</v>
      </c>
      <c r="C9" s="227">
        <f>'3rd Term Expected'!J29+'3rd Term Expected'!J38</f>
        <v>50000</v>
      </c>
      <c r="D9" s="227">
        <f>'Improvement Allocation'!H29+'Improvement Allocation'!H38</f>
        <v>20000</v>
      </c>
      <c r="E9" s="223">
        <f t="shared" si="0"/>
        <v>70000</v>
      </c>
      <c r="G9" s="313"/>
    </row>
    <row r="10" spans="1:12" ht="15" customHeight="1" x14ac:dyDescent="0.2">
      <c r="A10" s="221" t="s">
        <v>6</v>
      </c>
      <c r="B10" s="222" t="s">
        <v>7</v>
      </c>
      <c r="C10" s="223">
        <f>'3rd Term Expected'!J9</f>
        <v>0</v>
      </c>
      <c r="D10" s="223">
        <f>'Improvement Allocation'!H9</f>
        <v>48000</v>
      </c>
      <c r="E10" s="223">
        <f t="shared" si="0"/>
        <v>48000</v>
      </c>
      <c r="G10" s="313"/>
    </row>
    <row r="11" spans="1:12" ht="15" customHeight="1" x14ac:dyDescent="0.2">
      <c r="A11" s="221" t="s">
        <v>8</v>
      </c>
      <c r="B11" s="222" t="s">
        <v>9</v>
      </c>
      <c r="C11" s="223">
        <f>'3rd Term Expected'!J10</f>
        <v>400000</v>
      </c>
      <c r="D11" s="223">
        <f>'Improvement Allocation'!H10</f>
        <v>152000</v>
      </c>
      <c r="E11" s="223">
        <f t="shared" si="0"/>
        <v>552000</v>
      </c>
      <c r="G11" s="313"/>
    </row>
    <row r="12" spans="1:12" ht="15" customHeight="1" x14ac:dyDescent="0.2">
      <c r="A12" s="221" t="s">
        <v>10</v>
      </c>
      <c r="B12" s="3" t="s">
        <v>156</v>
      </c>
      <c r="C12" s="223">
        <f>'3rd Term Expected'!J11+'3rd Term Expected'!J14</f>
        <v>170000</v>
      </c>
      <c r="D12" s="223">
        <f>'Improvement Allocation'!H11+'Improvement Allocation'!H14</f>
        <v>128000</v>
      </c>
      <c r="E12" s="223">
        <f t="shared" si="0"/>
        <v>298000</v>
      </c>
      <c r="G12" s="313"/>
    </row>
    <row r="13" spans="1:12" ht="15" customHeight="1" x14ac:dyDescent="0.2">
      <c r="A13" s="221" t="s">
        <v>12</v>
      </c>
      <c r="B13" s="222" t="s">
        <v>13</v>
      </c>
      <c r="C13" s="223">
        <f>'3rd Term Expected'!J12</f>
        <v>0</v>
      </c>
      <c r="D13" s="223">
        <f>'Improvement Allocation'!H12</f>
        <v>0</v>
      </c>
      <c r="E13" s="223">
        <f t="shared" si="0"/>
        <v>0</v>
      </c>
      <c r="G13" s="313"/>
    </row>
    <row r="14" spans="1:12" ht="15" customHeight="1" x14ac:dyDescent="0.2">
      <c r="A14" s="221" t="s">
        <v>14</v>
      </c>
      <c r="B14" s="222" t="s">
        <v>145</v>
      </c>
      <c r="C14" s="223">
        <f>'3rd Term Expected'!J13</f>
        <v>0</v>
      </c>
      <c r="D14" s="223">
        <f>'Improvement Allocation'!H13</f>
        <v>0</v>
      </c>
      <c r="E14" s="223">
        <f t="shared" si="0"/>
        <v>0</v>
      </c>
      <c r="G14" s="313"/>
    </row>
    <row r="15" spans="1:12" ht="15" customHeight="1" x14ac:dyDescent="0.2">
      <c r="A15" s="221" t="s">
        <v>16</v>
      </c>
      <c r="B15" s="222" t="s">
        <v>17</v>
      </c>
      <c r="C15" s="223">
        <f>'3rd Term Expected'!J15</f>
        <v>0</v>
      </c>
      <c r="D15" s="223">
        <f>'Improvement Allocation'!H15</f>
        <v>12000</v>
      </c>
      <c r="E15" s="223">
        <f t="shared" si="0"/>
        <v>12000</v>
      </c>
      <c r="G15" s="313"/>
    </row>
    <row r="16" spans="1:12" ht="15" customHeight="1" x14ac:dyDescent="0.2">
      <c r="A16" s="221" t="s">
        <v>18</v>
      </c>
      <c r="B16" s="222" t="s">
        <v>146</v>
      </c>
      <c r="C16" s="223">
        <f>'3rd Term Expected'!J39</f>
        <v>0</v>
      </c>
      <c r="D16" s="223">
        <f>'Improvement Allocation'!H39</f>
        <v>0</v>
      </c>
      <c r="E16" s="223">
        <f t="shared" si="0"/>
        <v>0</v>
      </c>
      <c r="G16" s="313"/>
    </row>
    <row r="17" spans="1:7" ht="15" customHeight="1" x14ac:dyDescent="0.2">
      <c r="A17" s="221" t="s">
        <v>19</v>
      </c>
      <c r="B17" s="222" t="s">
        <v>134</v>
      </c>
      <c r="C17" s="223">
        <f>'3rd Term Expected'!J16</f>
        <v>0</v>
      </c>
      <c r="D17" s="223">
        <f>'Improvement Allocation'!H16</f>
        <v>20000</v>
      </c>
      <c r="E17" s="223">
        <f t="shared" si="0"/>
        <v>20000</v>
      </c>
      <c r="G17" s="313"/>
    </row>
    <row r="18" spans="1:7" ht="15" customHeight="1" x14ac:dyDescent="0.2">
      <c r="A18" s="221" t="s">
        <v>21</v>
      </c>
      <c r="B18" s="228" t="s">
        <v>188</v>
      </c>
      <c r="C18" s="223">
        <f>'3rd Term Expected'!J17</f>
        <v>290000</v>
      </c>
      <c r="D18" s="223">
        <f>'Improvement Allocation'!H17</f>
        <v>8000</v>
      </c>
      <c r="E18" s="223">
        <f t="shared" si="0"/>
        <v>298000</v>
      </c>
      <c r="G18" s="313"/>
    </row>
    <row r="19" spans="1:7" ht="15" customHeight="1" x14ac:dyDescent="0.2">
      <c r="A19" s="221" t="s">
        <v>114</v>
      </c>
      <c r="B19" s="222" t="s">
        <v>147</v>
      </c>
      <c r="C19" s="223">
        <f>'3rd Term Expected'!J18</f>
        <v>70000</v>
      </c>
      <c r="D19" s="223">
        <f>'Improvement Allocation'!H18</f>
        <v>0</v>
      </c>
      <c r="E19" s="223">
        <f t="shared" si="0"/>
        <v>70000</v>
      </c>
      <c r="G19" s="313"/>
    </row>
    <row r="20" spans="1:7" ht="15" customHeight="1" x14ac:dyDescent="0.2">
      <c r="A20" s="221" t="s">
        <v>26</v>
      </c>
      <c r="B20" s="222" t="s">
        <v>62</v>
      </c>
      <c r="C20" s="223">
        <f>'3rd Term Expected'!J41</f>
        <v>10000</v>
      </c>
      <c r="D20" s="223">
        <f>'Improvement Allocation'!H41</f>
        <v>4000</v>
      </c>
      <c r="E20" s="223">
        <f t="shared" si="0"/>
        <v>14000</v>
      </c>
      <c r="G20" s="313"/>
    </row>
    <row r="21" spans="1:7" ht="15" customHeight="1" x14ac:dyDescent="0.2">
      <c r="A21" s="221" t="s">
        <v>22</v>
      </c>
      <c r="B21" s="222" t="s">
        <v>23</v>
      </c>
      <c r="C21" s="223">
        <f>'3rd Term Expected'!J40</f>
        <v>0</v>
      </c>
      <c r="D21" s="223">
        <f>'Improvement Allocation'!H40</f>
        <v>8000</v>
      </c>
      <c r="E21" s="223">
        <f t="shared" si="0"/>
        <v>8000</v>
      </c>
      <c r="G21" s="313"/>
    </row>
    <row r="22" spans="1:7" ht="15" customHeight="1" x14ac:dyDescent="0.2">
      <c r="A22" s="221" t="s">
        <v>24</v>
      </c>
      <c r="B22" s="222" t="s">
        <v>143</v>
      </c>
      <c r="C22" s="223">
        <f>'3rd Term Expected'!J19</f>
        <v>530000</v>
      </c>
      <c r="D22" s="223">
        <f>'Improvement Allocation'!H19</f>
        <v>60000</v>
      </c>
      <c r="E22" s="223">
        <f t="shared" si="0"/>
        <v>590000</v>
      </c>
      <c r="G22" s="313"/>
    </row>
    <row r="23" spans="1:7" ht="15" customHeight="1" x14ac:dyDescent="0.2">
      <c r="A23" s="221" t="s">
        <v>27</v>
      </c>
      <c r="B23" s="222" t="s">
        <v>137</v>
      </c>
      <c r="C23" s="223">
        <f>'3rd Term Expected'!J20</f>
        <v>0</v>
      </c>
      <c r="D23" s="223">
        <f>'Improvement Allocation'!H20</f>
        <v>0</v>
      </c>
      <c r="E23" s="223">
        <f t="shared" si="0"/>
        <v>0</v>
      </c>
      <c r="G23" s="313"/>
    </row>
    <row r="24" spans="1:7" ht="15" customHeight="1" x14ac:dyDescent="0.2">
      <c r="A24" s="221" t="s">
        <v>29</v>
      </c>
      <c r="B24" s="222" t="s">
        <v>138</v>
      </c>
      <c r="C24" s="223">
        <f>'3rd Term Expected'!J21</f>
        <v>530000</v>
      </c>
      <c r="D24" s="223">
        <f>'Improvement Allocation'!H21</f>
        <v>76000</v>
      </c>
      <c r="E24" s="223">
        <f t="shared" si="0"/>
        <v>606000</v>
      </c>
      <c r="G24" s="313"/>
    </row>
    <row r="25" spans="1:7" ht="15" customHeight="1" x14ac:dyDescent="0.2">
      <c r="A25" s="221" t="s">
        <v>123</v>
      </c>
      <c r="B25" s="222" t="s">
        <v>63</v>
      </c>
      <c r="C25" s="227">
        <f>'3rd Term Expected'!J22</f>
        <v>30000</v>
      </c>
      <c r="D25" s="227">
        <f>'Improvement Allocation'!H22</f>
        <v>52000</v>
      </c>
      <c r="E25" s="223">
        <f t="shared" si="0"/>
        <v>82000</v>
      </c>
      <c r="G25" s="313"/>
    </row>
    <row r="26" spans="1:7" ht="15" customHeight="1" x14ac:dyDescent="0.2">
      <c r="A26" s="221" t="s">
        <v>31</v>
      </c>
      <c r="B26" s="222" t="s">
        <v>139</v>
      </c>
      <c r="C26" s="223">
        <f>'3rd Term Expected'!J28</f>
        <v>0</v>
      </c>
      <c r="D26" s="223">
        <f>'Improvement Allocation'!H28</f>
        <v>0</v>
      </c>
      <c r="E26" s="223">
        <f t="shared" si="0"/>
        <v>0</v>
      </c>
      <c r="G26" s="313"/>
    </row>
    <row r="27" spans="1:7" ht="15" customHeight="1" x14ac:dyDescent="0.2">
      <c r="A27" s="221" t="s">
        <v>33</v>
      </c>
      <c r="B27" s="222" t="s">
        <v>135</v>
      </c>
      <c r="C27" s="223">
        <f>'3rd Term Expected'!J30</f>
        <v>0</v>
      </c>
      <c r="D27" s="223">
        <f>'Improvement Allocation'!H30</f>
        <v>0</v>
      </c>
      <c r="E27" s="223">
        <f t="shared" si="0"/>
        <v>0</v>
      </c>
      <c r="G27" s="313"/>
    </row>
    <row r="28" spans="1:7" ht="15" customHeight="1" x14ac:dyDescent="0.2">
      <c r="A28" s="221" t="s">
        <v>35</v>
      </c>
      <c r="B28" s="222" t="s">
        <v>36</v>
      </c>
      <c r="C28" s="223">
        <f>'3rd Term Expected'!J31</f>
        <v>70000</v>
      </c>
      <c r="D28" s="223">
        <f>'Improvement Allocation'!H31</f>
        <v>4000</v>
      </c>
      <c r="E28" s="223">
        <f t="shared" si="0"/>
        <v>74000</v>
      </c>
      <c r="G28" s="313"/>
    </row>
    <row r="29" spans="1:7" ht="15" customHeight="1" x14ac:dyDescent="0.2">
      <c r="A29" s="221" t="s">
        <v>37</v>
      </c>
      <c r="B29" s="222" t="s">
        <v>136</v>
      </c>
      <c r="C29" s="223">
        <f>'3rd Term Expected'!J32</f>
        <v>240000</v>
      </c>
      <c r="D29" s="223">
        <f>'Improvement Allocation'!H32</f>
        <v>100000</v>
      </c>
      <c r="E29" s="223">
        <f t="shared" si="0"/>
        <v>340000</v>
      </c>
      <c r="G29" s="313"/>
    </row>
    <row r="30" spans="1:7" ht="15" customHeight="1" x14ac:dyDescent="0.2">
      <c r="A30" s="221" t="s">
        <v>39</v>
      </c>
      <c r="B30" s="222" t="s">
        <v>140</v>
      </c>
      <c r="C30" s="223">
        <f>'3rd Term Expected'!J33</f>
        <v>0</v>
      </c>
      <c r="D30" s="223">
        <f>'Improvement Allocation'!H33</f>
        <v>0</v>
      </c>
      <c r="E30" s="223">
        <f t="shared" si="0"/>
        <v>0</v>
      </c>
      <c r="G30" s="313"/>
    </row>
    <row r="31" spans="1:7" ht="15" customHeight="1" x14ac:dyDescent="0.2">
      <c r="A31" s="221" t="s">
        <v>46</v>
      </c>
      <c r="B31" s="222" t="s">
        <v>70</v>
      </c>
      <c r="C31" s="223">
        <f>'3rd Term Expected'!J35</f>
        <v>590000</v>
      </c>
      <c r="D31" s="223">
        <f>'Improvement Allocation'!H35</f>
        <v>668000</v>
      </c>
      <c r="E31" s="223">
        <f t="shared" si="0"/>
        <v>1258000</v>
      </c>
      <c r="G31" s="313"/>
    </row>
    <row r="32" spans="1:7" ht="15" customHeight="1" x14ac:dyDescent="0.2">
      <c r="A32" s="221" t="s">
        <v>41</v>
      </c>
      <c r="B32" s="222" t="s">
        <v>122</v>
      </c>
      <c r="C32" s="223">
        <f>'3rd Term Expected'!J36</f>
        <v>0</v>
      </c>
      <c r="D32" s="223">
        <f>'Improvement Allocation'!H36</f>
        <v>16000</v>
      </c>
      <c r="E32" s="223">
        <f t="shared" si="0"/>
        <v>16000</v>
      </c>
      <c r="G32" s="313"/>
    </row>
    <row r="33" spans="1:9" ht="15" customHeight="1" x14ac:dyDescent="0.2">
      <c r="A33" s="221" t="s">
        <v>42</v>
      </c>
      <c r="B33" s="222" t="s">
        <v>69</v>
      </c>
      <c r="C33" s="223">
        <f>'3rd Term Expected'!J43</f>
        <v>130000</v>
      </c>
      <c r="D33" s="223">
        <f>'Improvement Allocation'!H43</f>
        <v>0</v>
      </c>
      <c r="E33" s="223">
        <f t="shared" si="0"/>
        <v>130000</v>
      </c>
      <c r="G33" s="313"/>
    </row>
    <row r="34" spans="1:9" ht="15" customHeight="1" x14ac:dyDescent="0.2">
      <c r="A34" s="221" t="s">
        <v>43</v>
      </c>
      <c r="B34" s="222" t="s">
        <v>44</v>
      </c>
      <c r="C34" s="223">
        <f>'3rd Term Expected'!J42</f>
        <v>0</v>
      </c>
      <c r="D34" s="223">
        <f>'Improvement Allocation'!H42</f>
        <v>0</v>
      </c>
      <c r="E34" s="223">
        <f t="shared" si="0"/>
        <v>0</v>
      </c>
      <c r="G34" s="313"/>
    </row>
    <row r="35" spans="1:9" ht="15" customHeight="1" x14ac:dyDescent="0.2">
      <c r="A35" s="221" t="s">
        <v>45</v>
      </c>
      <c r="B35" s="222" t="s">
        <v>141</v>
      </c>
      <c r="C35" s="223">
        <f>'3rd Term Expected'!J34</f>
        <v>0</v>
      </c>
      <c r="D35" s="223">
        <f>'Improvement Allocation'!H34</f>
        <v>0</v>
      </c>
      <c r="E35" s="223">
        <f t="shared" si="0"/>
        <v>0</v>
      </c>
      <c r="G35" s="313"/>
    </row>
    <row r="36" spans="1:9" ht="15" customHeight="1" x14ac:dyDescent="0.2">
      <c r="A36" s="221" t="s">
        <v>47</v>
      </c>
      <c r="B36" s="222" t="s">
        <v>48</v>
      </c>
      <c r="C36" s="223">
        <f>'3rd Term Expected'!J44</f>
        <v>0</v>
      </c>
      <c r="D36" s="223">
        <f>'Improvement Allocation'!H44</f>
        <v>0</v>
      </c>
      <c r="E36" s="223">
        <f t="shared" si="0"/>
        <v>0</v>
      </c>
      <c r="G36" s="313"/>
    </row>
    <row r="37" spans="1:9" ht="15" customHeight="1" x14ac:dyDescent="0.2">
      <c r="D37" s="11"/>
      <c r="G37" s="15"/>
      <c r="I37" s="6"/>
    </row>
    <row r="38" spans="1:9" ht="15" customHeight="1" x14ac:dyDescent="0.2">
      <c r="B38" t="s">
        <v>49</v>
      </c>
      <c r="C38" s="229">
        <f>SUM(C7:C37)</f>
        <v>3230000</v>
      </c>
      <c r="D38" s="229">
        <f>SUM(D7:D37)</f>
        <v>1400000</v>
      </c>
      <c r="E38" s="229">
        <f>SUM(E7:E37)</f>
        <v>4630000</v>
      </c>
    </row>
    <row r="40" spans="1:9" ht="15" customHeight="1" x14ac:dyDescent="0.2">
      <c r="A40" s="16" t="s">
        <v>330</v>
      </c>
    </row>
    <row r="41" spans="1:9" ht="15" customHeight="1" x14ac:dyDescent="0.2">
      <c r="A41" s="16" t="s">
        <v>337</v>
      </c>
    </row>
    <row r="42" spans="1:9" ht="15" customHeight="1" x14ac:dyDescent="0.2">
      <c r="A42" s="16"/>
    </row>
  </sheetData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FY2015 Detail</vt:lpstr>
      <vt:lpstr>Sheet1</vt:lpstr>
      <vt:lpstr>Summary</vt:lpstr>
      <vt:lpstr>Instruction</vt:lpstr>
      <vt:lpstr>Academic Support Per FYE</vt:lpstr>
      <vt:lpstr>Student&amp;Institutional Support</vt:lpstr>
      <vt:lpstr>Weighted differ concurrent</vt:lpstr>
      <vt:lpstr>Facilities</vt:lpstr>
      <vt:lpstr>Student Success</vt:lpstr>
      <vt:lpstr>3rd Term Expected</vt:lpstr>
      <vt:lpstr>Improvement Allocation</vt:lpstr>
      <vt:lpstr>Research</vt:lpstr>
      <vt:lpstr>Revenue Offset</vt:lpstr>
      <vt:lpstr>'3rd Term Expected'!Print_Area</vt:lpstr>
      <vt:lpstr>'FY2015 Detail'!Print_Area</vt:lpstr>
      <vt:lpstr>'Improvement Allocation'!Print_Area</vt:lpstr>
      <vt:lpstr>Instruction!Print_Area</vt:lpstr>
      <vt:lpstr>Summary!Print_Area</vt:lpstr>
      <vt:lpstr>'FY2015 Detail'!Print_Titles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Kedrowski</dc:creator>
  <cp:lastModifiedBy>Susan Anderson</cp:lastModifiedBy>
  <cp:lastPrinted>2018-05-16T15:49:56Z</cp:lastPrinted>
  <dcterms:created xsi:type="dcterms:W3CDTF">2000-05-30T14:50:23Z</dcterms:created>
  <dcterms:modified xsi:type="dcterms:W3CDTF">2018-05-30T14:12:32Z</dcterms:modified>
</cp:coreProperties>
</file>